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oj\AppData\Local\Microsoft\Windows\INetCache\Content.Outlook\JRVLFGPZ\"/>
    </mc:Choice>
  </mc:AlternateContent>
  <xr:revisionPtr revIDLastSave="0" documentId="13_ncr:1_{1A72C24A-464E-4B25-B301-2ECB72ED71A7}" xr6:coauthVersionLast="46" xr6:coauthVersionMax="47" xr10:uidLastSave="{00000000-0000-0000-0000-000000000000}"/>
  <bookViews>
    <workbookView xWindow="2920" yWindow="0" windowWidth="9600" windowHeight="10200" tabRatio="855" xr2:uid="{00000000-000D-0000-FFFF-FFFF00000000}"/>
  </bookViews>
  <sheets>
    <sheet name="Alla arbetslösa 16-64 år" sheetId="1" r:id="rId1"/>
    <sheet name="AK Samtl" sheetId="13" r:id="rId2"/>
    <sheet name="Arblösa &amp; i prog 16-64 år " sheetId="5" r:id="rId3"/>
    <sheet name="Arblösa &amp; i prog i % 16-64 år" sheetId="6" r:id="rId4"/>
    <sheet name="Ungdomar 18-24 år" sheetId="4" r:id="rId5"/>
    <sheet name="Arblösa &amp; i prog 18-24 år" sheetId="7" r:id="rId6"/>
    <sheet name="Arblösa &amp; i prog i % 18-24 år" sheetId="8" r:id="rId7"/>
    <sheet name="Utrikesfödda" sheetId="9" r:id="rId8"/>
    <sheet name="AK Utrik" sheetId="12" r:id="rId9"/>
    <sheet name="Utr. födda arblösa &amp; i prog" sheetId="10" r:id="rId10"/>
    <sheet name="Utr. födda arblösa &amp; i prog i %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31" i="9" l="1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AF30" i="4"/>
  <c r="AE30" i="4"/>
  <c r="AD30" i="4"/>
  <c r="AC30" i="4"/>
  <c r="AC29" i="4"/>
  <c r="AB30" i="4"/>
  <c r="AA30" i="4"/>
  <c r="Z30" i="4"/>
  <c r="Y30" i="4"/>
  <c r="X30" i="4"/>
  <c r="W30" i="4"/>
  <c r="V30" i="4"/>
  <c r="U30" i="4"/>
  <c r="T30" i="4"/>
  <c r="S30" i="4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S28" i="9"/>
  <c r="AE29" i="4"/>
  <c r="AD29" i="4"/>
  <c r="AB29" i="4"/>
  <c r="AA29" i="4"/>
  <c r="Z29" i="4"/>
  <c r="Y29" i="4"/>
  <c r="X29" i="4"/>
  <c r="W29" i="4"/>
  <c r="V29" i="4"/>
  <c r="U29" i="4"/>
  <c r="T29" i="4"/>
  <c r="S29" i="4"/>
  <c r="S28" i="4"/>
  <c r="C29" i="4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AF25" i="4"/>
  <c r="AE25" i="4"/>
  <c r="AC25" i="4"/>
  <c r="AB25" i="4"/>
  <c r="AA25" i="4"/>
  <c r="Z25" i="4"/>
  <c r="Y25" i="4"/>
  <c r="X25" i="4"/>
  <c r="W25" i="4"/>
  <c r="V25" i="4"/>
  <c r="U25" i="4"/>
  <c r="T25" i="4"/>
  <c r="S25" i="4"/>
  <c r="AD25" i="4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N24" i="4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X22" i="4"/>
  <c r="X23" i="4"/>
  <c r="AF23" i="4"/>
  <c r="AE23" i="4"/>
  <c r="AD23" i="4"/>
  <c r="AC23" i="4"/>
  <c r="AB23" i="4"/>
  <c r="AA23" i="4"/>
  <c r="Z23" i="4"/>
  <c r="Y23" i="4"/>
  <c r="W23" i="4"/>
  <c r="V23" i="4"/>
  <c r="U23" i="4"/>
  <c r="T23" i="4"/>
  <c r="S23" i="4"/>
  <c r="AF22" i="9" l="1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AF22" i="4"/>
  <c r="AE22" i="4"/>
  <c r="AD22" i="4"/>
  <c r="AC22" i="4"/>
  <c r="AB22" i="4"/>
  <c r="AA22" i="4"/>
  <c r="Z22" i="4"/>
  <c r="Y22" i="4"/>
  <c r="W22" i="4"/>
  <c r="V22" i="4"/>
  <c r="U22" i="4"/>
  <c r="T22" i="4"/>
  <c r="S22" i="4"/>
  <c r="E22" i="9" l="1"/>
  <c r="E23" i="9"/>
  <c r="E24" i="9"/>
  <c r="E25" i="9"/>
  <c r="E26" i="9"/>
  <c r="E27" i="9"/>
  <c r="E28" i="9"/>
  <c r="E29" i="9"/>
  <c r="E30" i="9"/>
  <c r="E31" i="9"/>
  <c r="C22" i="1"/>
  <c r="S22" i="1" s="1"/>
  <c r="D22" i="1"/>
  <c r="T22" i="1" s="1"/>
  <c r="E22" i="1"/>
  <c r="U22" i="1" s="1"/>
  <c r="F22" i="1"/>
  <c r="V22" i="1" s="1"/>
  <c r="G22" i="1"/>
  <c r="W22" i="1" s="1"/>
  <c r="H22" i="1"/>
  <c r="X22" i="1" s="1"/>
  <c r="I22" i="1"/>
  <c r="Y22" i="1" s="1"/>
  <c r="J22" i="1"/>
  <c r="Z22" i="1" s="1"/>
  <c r="K22" i="1"/>
  <c r="AA22" i="1" s="1"/>
  <c r="L22" i="1"/>
  <c r="AB22" i="1" s="1"/>
  <c r="M22" i="1"/>
  <c r="AC22" i="1" s="1"/>
  <c r="N22" i="1"/>
  <c r="AD22" i="1" s="1"/>
  <c r="O22" i="1"/>
  <c r="AE22" i="1" s="1"/>
  <c r="C23" i="1"/>
  <c r="S23" i="1" s="1"/>
  <c r="D23" i="1"/>
  <c r="T23" i="1" s="1"/>
  <c r="E23" i="1"/>
  <c r="U23" i="1" s="1"/>
  <c r="F23" i="1"/>
  <c r="V23" i="1" s="1"/>
  <c r="G23" i="1"/>
  <c r="W23" i="1" s="1"/>
  <c r="H23" i="1"/>
  <c r="X23" i="1" s="1"/>
  <c r="I23" i="1"/>
  <c r="Y23" i="1" s="1"/>
  <c r="J23" i="1"/>
  <c r="Z23" i="1" s="1"/>
  <c r="K23" i="1"/>
  <c r="AA23" i="1" s="1"/>
  <c r="L23" i="1"/>
  <c r="AB23" i="1" s="1"/>
  <c r="M23" i="1"/>
  <c r="AC23" i="1" s="1"/>
  <c r="N23" i="1"/>
  <c r="AD23" i="1" s="1"/>
  <c r="O23" i="1"/>
  <c r="AE23" i="1" s="1"/>
  <c r="C24" i="1"/>
  <c r="S24" i="1" s="1"/>
  <c r="D24" i="1"/>
  <c r="T24" i="1" s="1"/>
  <c r="E24" i="1"/>
  <c r="U24" i="1" s="1"/>
  <c r="F24" i="1"/>
  <c r="V24" i="1" s="1"/>
  <c r="G24" i="1"/>
  <c r="W24" i="1" s="1"/>
  <c r="H24" i="1"/>
  <c r="X24" i="1" s="1"/>
  <c r="I24" i="1"/>
  <c r="Y24" i="1" s="1"/>
  <c r="J24" i="1"/>
  <c r="Z24" i="1" s="1"/>
  <c r="K24" i="1"/>
  <c r="AA24" i="1" s="1"/>
  <c r="L24" i="1"/>
  <c r="AB24" i="1" s="1"/>
  <c r="M24" i="1"/>
  <c r="AC24" i="1" s="1"/>
  <c r="N24" i="1"/>
  <c r="AD24" i="1" s="1"/>
  <c r="O24" i="1"/>
  <c r="AE24" i="1" s="1"/>
  <c r="C25" i="1"/>
  <c r="S25" i="1" s="1"/>
  <c r="D25" i="1"/>
  <c r="T25" i="1" s="1"/>
  <c r="E25" i="1"/>
  <c r="U25" i="1" s="1"/>
  <c r="F25" i="1"/>
  <c r="V25" i="1" s="1"/>
  <c r="G25" i="1"/>
  <c r="W25" i="1" s="1"/>
  <c r="H25" i="1"/>
  <c r="X25" i="1" s="1"/>
  <c r="I25" i="1"/>
  <c r="Y25" i="1" s="1"/>
  <c r="J25" i="1"/>
  <c r="Z25" i="1" s="1"/>
  <c r="K25" i="1"/>
  <c r="AA25" i="1" s="1"/>
  <c r="L25" i="1"/>
  <c r="AB25" i="1" s="1"/>
  <c r="M25" i="1"/>
  <c r="AC25" i="1" s="1"/>
  <c r="N25" i="1"/>
  <c r="AD25" i="1" s="1"/>
  <c r="O25" i="1"/>
  <c r="AE25" i="1" s="1"/>
  <c r="C26" i="1"/>
  <c r="S26" i="1" s="1"/>
  <c r="D26" i="1"/>
  <c r="T26" i="1" s="1"/>
  <c r="E26" i="1"/>
  <c r="U26" i="1" s="1"/>
  <c r="F26" i="1"/>
  <c r="V26" i="1" s="1"/>
  <c r="G26" i="1"/>
  <c r="W26" i="1" s="1"/>
  <c r="H26" i="1"/>
  <c r="X26" i="1" s="1"/>
  <c r="I26" i="1"/>
  <c r="Y26" i="1" s="1"/>
  <c r="J26" i="1"/>
  <c r="Z26" i="1" s="1"/>
  <c r="K26" i="1"/>
  <c r="AA26" i="1" s="1"/>
  <c r="L26" i="1"/>
  <c r="AB26" i="1" s="1"/>
  <c r="M26" i="1"/>
  <c r="AC26" i="1" s="1"/>
  <c r="N26" i="1"/>
  <c r="AD26" i="1" s="1"/>
  <c r="O26" i="1"/>
  <c r="AE26" i="1" s="1"/>
  <c r="C27" i="1"/>
  <c r="S27" i="1" s="1"/>
  <c r="D27" i="1"/>
  <c r="T27" i="1" s="1"/>
  <c r="E27" i="1"/>
  <c r="U27" i="1" s="1"/>
  <c r="F27" i="1"/>
  <c r="V27" i="1" s="1"/>
  <c r="G27" i="1"/>
  <c r="W27" i="1" s="1"/>
  <c r="H27" i="1"/>
  <c r="X27" i="1" s="1"/>
  <c r="I27" i="1"/>
  <c r="Y27" i="1" s="1"/>
  <c r="J27" i="1"/>
  <c r="Z27" i="1" s="1"/>
  <c r="K27" i="1"/>
  <c r="AA27" i="1" s="1"/>
  <c r="L27" i="1"/>
  <c r="AB27" i="1" s="1"/>
  <c r="M27" i="1"/>
  <c r="AC27" i="1" s="1"/>
  <c r="N27" i="1"/>
  <c r="AD27" i="1" s="1"/>
  <c r="O27" i="1"/>
  <c r="AE27" i="1" s="1"/>
  <c r="C28" i="1"/>
  <c r="S28" i="1" s="1"/>
  <c r="D28" i="1"/>
  <c r="T28" i="1" s="1"/>
  <c r="E28" i="1"/>
  <c r="U28" i="1" s="1"/>
  <c r="F28" i="1"/>
  <c r="V28" i="1" s="1"/>
  <c r="G28" i="1"/>
  <c r="W28" i="1" s="1"/>
  <c r="H28" i="1"/>
  <c r="X28" i="1" s="1"/>
  <c r="I28" i="1"/>
  <c r="Y28" i="1" s="1"/>
  <c r="J28" i="1"/>
  <c r="Z28" i="1" s="1"/>
  <c r="K28" i="1"/>
  <c r="AA28" i="1" s="1"/>
  <c r="L28" i="1"/>
  <c r="AB28" i="1" s="1"/>
  <c r="M28" i="1"/>
  <c r="AC28" i="1" s="1"/>
  <c r="N28" i="1"/>
  <c r="AD28" i="1" s="1"/>
  <c r="O28" i="1"/>
  <c r="AE28" i="1" s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27" i="1" l="1"/>
  <c r="AF27" i="1" s="1"/>
  <c r="P25" i="1"/>
  <c r="AF25" i="1" s="1"/>
  <c r="P23" i="1"/>
  <c r="AF23" i="1" s="1"/>
  <c r="P22" i="1"/>
  <c r="AF22" i="1" s="1"/>
  <c r="P30" i="1"/>
  <c r="P31" i="1"/>
  <c r="P26" i="1"/>
  <c r="AF26" i="1" s="1"/>
  <c r="P28" i="1"/>
  <c r="AF28" i="1" s="1"/>
  <c r="P29" i="1"/>
  <c r="P24" i="1"/>
  <c r="AF24" i="1" s="1"/>
  <c r="E20" i="4"/>
  <c r="U20" i="4" s="1"/>
  <c r="E21" i="4"/>
  <c r="U21" i="4" s="1"/>
  <c r="E22" i="4"/>
  <c r="E23" i="4"/>
  <c r="E24" i="4"/>
  <c r="E25" i="4"/>
  <c r="E26" i="4"/>
  <c r="E27" i="4"/>
  <c r="E28" i="4"/>
  <c r="E29" i="4"/>
  <c r="E30" i="4"/>
  <c r="E31" i="4"/>
  <c r="X20" i="1"/>
  <c r="C20" i="1"/>
  <c r="S20" i="1" s="1"/>
  <c r="D20" i="1"/>
  <c r="T20" i="1" s="1"/>
  <c r="E20" i="1"/>
  <c r="U20" i="1" s="1"/>
  <c r="F20" i="1"/>
  <c r="V20" i="1" s="1"/>
  <c r="G20" i="1"/>
  <c r="W20" i="1" s="1"/>
  <c r="H20" i="1"/>
  <c r="I20" i="1"/>
  <c r="Y20" i="1" s="1"/>
  <c r="J20" i="1"/>
  <c r="Z20" i="1" s="1"/>
  <c r="K20" i="1"/>
  <c r="AA20" i="1" s="1"/>
  <c r="L20" i="1"/>
  <c r="AB20" i="1" s="1"/>
  <c r="M20" i="1"/>
  <c r="AC20" i="1" s="1"/>
  <c r="N20" i="1"/>
  <c r="AD20" i="1" s="1"/>
  <c r="O20" i="1"/>
  <c r="AE20" i="1" s="1"/>
  <c r="C21" i="1"/>
  <c r="S21" i="1" s="1"/>
  <c r="D21" i="1"/>
  <c r="T21" i="1" s="1"/>
  <c r="E21" i="1"/>
  <c r="U21" i="1" s="1"/>
  <c r="F21" i="1"/>
  <c r="V21" i="1" s="1"/>
  <c r="G21" i="1"/>
  <c r="W21" i="1" s="1"/>
  <c r="H21" i="1"/>
  <c r="X21" i="1" s="1"/>
  <c r="I21" i="1"/>
  <c r="Y21" i="1" s="1"/>
  <c r="J21" i="1"/>
  <c r="Z21" i="1" s="1"/>
  <c r="K21" i="1"/>
  <c r="AA21" i="1" s="1"/>
  <c r="L21" i="1"/>
  <c r="AB21" i="1" s="1"/>
  <c r="M21" i="1"/>
  <c r="AC21" i="1" s="1"/>
  <c r="N21" i="1"/>
  <c r="AD21" i="1" s="1"/>
  <c r="O21" i="1"/>
  <c r="AE21" i="1" s="1"/>
  <c r="P21" i="1" l="1"/>
  <c r="AF21" i="1" s="1"/>
  <c r="P20" i="1"/>
  <c r="AF20" i="1" s="1"/>
  <c r="C31" i="9"/>
  <c r="D31" i="9"/>
  <c r="F31" i="9"/>
  <c r="G31" i="9"/>
  <c r="H31" i="9"/>
  <c r="I31" i="9"/>
  <c r="J31" i="9"/>
  <c r="K31" i="9"/>
  <c r="L31" i="9"/>
  <c r="M31" i="9"/>
  <c r="N31" i="9"/>
  <c r="O31" i="9"/>
  <c r="C31" i="4"/>
  <c r="D31" i="4"/>
  <c r="F31" i="4"/>
  <c r="G31" i="4"/>
  <c r="H31" i="4"/>
  <c r="I31" i="4"/>
  <c r="J31" i="4"/>
  <c r="K31" i="4"/>
  <c r="L31" i="4"/>
  <c r="M31" i="4"/>
  <c r="N31" i="4"/>
  <c r="O31" i="4"/>
  <c r="P31" i="9" l="1"/>
  <c r="P31" i="4"/>
  <c r="AF10" i="1" l="1"/>
  <c r="AF11" i="1"/>
  <c r="AF12" i="1"/>
  <c r="AF13" i="1"/>
  <c r="AF14" i="1"/>
  <c r="AF15" i="1"/>
  <c r="AF16" i="1"/>
  <c r="AF9" i="1"/>
  <c r="O30" i="9"/>
  <c r="N30" i="9"/>
  <c r="M30" i="9"/>
  <c r="L30" i="9"/>
  <c r="K30" i="9"/>
  <c r="J30" i="9"/>
  <c r="I30" i="9"/>
  <c r="H30" i="9"/>
  <c r="G30" i="9"/>
  <c r="F30" i="9"/>
  <c r="D30" i="9"/>
  <c r="C30" i="9"/>
  <c r="O29" i="9"/>
  <c r="N29" i="9"/>
  <c r="M29" i="9"/>
  <c r="L29" i="9"/>
  <c r="K29" i="9"/>
  <c r="J29" i="9"/>
  <c r="I29" i="9"/>
  <c r="H29" i="9"/>
  <c r="G29" i="9"/>
  <c r="F29" i="9"/>
  <c r="D29" i="9"/>
  <c r="C29" i="9"/>
  <c r="O28" i="9"/>
  <c r="N28" i="9"/>
  <c r="M28" i="9"/>
  <c r="L28" i="9"/>
  <c r="K28" i="9"/>
  <c r="J28" i="9"/>
  <c r="I28" i="9"/>
  <c r="H28" i="9"/>
  <c r="G28" i="9"/>
  <c r="F28" i="9"/>
  <c r="D28" i="9"/>
  <c r="C28" i="9"/>
  <c r="O27" i="9"/>
  <c r="N27" i="9"/>
  <c r="M27" i="9"/>
  <c r="L27" i="9"/>
  <c r="K27" i="9"/>
  <c r="J27" i="9"/>
  <c r="I27" i="9"/>
  <c r="H27" i="9"/>
  <c r="G27" i="9"/>
  <c r="F27" i="9"/>
  <c r="D27" i="9"/>
  <c r="C27" i="9"/>
  <c r="O26" i="9"/>
  <c r="N26" i="9"/>
  <c r="M26" i="9"/>
  <c r="L26" i="9"/>
  <c r="K26" i="9"/>
  <c r="J26" i="9"/>
  <c r="I26" i="9"/>
  <c r="H26" i="9"/>
  <c r="G26" i="9"/>
  <c r="F26" i="9"/>
  <c r="D26" i="9"/>
  <c r="C26" i="9"/>
  <c r="O25" i="9"/>
  <c r="N25" i="9"/>
  <c r="M25" i="9"/>
  <c r="L25" i="9"/>
  <c r="K25" i="9"/>
  <c r="J25" i="9"/>
  <c r="I25" i="9"/>
  <c r="H25" i="9"/>
  <c r="G25" i="9"/>
  <c r="F25" i="9"/>
  <c r="D25" i="9"/>
  <c r="C25" i="9"/>
  <c r="O24" i="9"/>
  <c r="N24" i="9"/>
  <c r="M24" i="9"/>
  <c r="L24" i="9"/>
  <c r="K24" i="9"/>
  <c r="J24" i="9"/>
  <c r="I24" i="9"/>
  <c r="H24" i="9"/>
  <c r="G24" i="9"/>
  <c r="F24" i="9"/>
  <c r="D24" i="9"/>
  <c r="C24" i="9"/>
  <c r="O23" i="9"/>
  <c r="N23" i="9"/>
  <c r="M23" i="9"/>
  <c r="L23" i="9"/>
  <c r="K23" i="9"/>
  <c r="J23" i="9"/>
  <c r="I23" i="9"/>
  <c r="H23" i="9"/>
  <c r="G23" i="9"/>
  <c r="F23" i="9"/>
  <c r="D23" i="9"/>
  <c r="C23" i="9"/>
  <c r="O22" i="9"/>
  <c r="N22" i="9"/>
  <c r="M22" i="9"/>
  <c r="L22" i="9"/>
  <c r="K22" i="9"/>
  <c r="J22" i="9"/>
  <c r="I22" i="9"/>
  <c r="H22" i="9"/>
  <c r="G22" i="9"/>
  <c r="F22" i="9"/>
  <c r="D22" i="9"/>
  <c r="C22" i="9"/>
  <c r="O21" i="9"/>
  <c r="AE21" i="9" s="1"/>
  <c r="N21" i="9"/>
  <c r="AD21" i="9" s="1"/>
  <c r="M21" i="9"/>
  <c r="AC21" i="9" s="1"/>
  <c r="L21" i="9"/>
  <c r="AB21" i="9" s="1"/>
  <c r="K21" i="9"/>
  <c r="AA21" i="9" s="1"/>
  <c r="J21" i="9"/>
  <c r="Z21" i="9" s="1"/>
  <c r="I21" i="9"/>
  <c r="Y21" i="9" s="1"/>
  <c r="H21" i="9"/>
  <c r="X21" i="9" s="1"/>
  <c r="G21" i="9"/>
  <c r="W21" i="9" s="1"/>
  <c r="F21" i="9"/>
  <c r="V21" i="9" s="1"/>
  <c r="E21" i="9"/>
  <c r="U21" i="9" s="1"/>
  <c r="D21" i="9"/>
  <c r="T21" i="9" s="1"/>
  <c r="C21" i="9"/>
  <c r="S21" i="9" s="1"/>
  <c r="O20" i="9"/>
  <c r="AE20" i="9" s="1"/>
  <c r="N20" i="9"/>
  <c r="AD20" i="9" s="1"/>
  <c r="M20" i="9"/>
  <c r="AC20" i="9" s="1"/>
  <c r="L20" i="9"/>
  <c r="AB20" i="9" s="1"/>
  <c r="K20" i="9"/>
  <c r="AA20" i="9" s="1"/>
  <c r="J20" i="9"/>
  <c r="Z20" i="9" s="1"/>
  <c r="I20" i="9"/>
  <c r="Y20" i="9" s="1"/>
  <c r="H20" i="9"/>
  <c r="X20" i="9" s="1"/>
  <c r="G20" i="9"/>
  <c r="W20" i="9" s="1"/>
  <c r="F20" i="9"/>
  <c r="V20" i="9" s="1"/>
  <c r="E20" i="9"/>
  <c r="U20" i="9" s="1"/>
  <c r="D20" i="9"/>
  <c r="T20" i="9" s="1"/>
  <c r="C20" i="9"/>
  <c r="S20" i="9" s="1"/>
  <c r="AF16" i="9"/>
  <c r="P16" i="9"/>
  <c r="AF15" i="9"/>
  <c r="P15" i="9"/>
  <c r="AF14" i="9"/>
  <c r="P14" i="9"/>
  <c r="AF13" i="9"/>
  <c r="P13" i="9"/>
  <c r="AF12" i="9"/>
  <c r="P12" i="9"/>
  <c r="AF11" i="9"/>
  <c r="P11" i="9"/>
  <c r="AF10" i="9"/>
  <c r="P10" i="9"/>
  <c r="AF9" i="9"/>
  <c r="P9" i="9"/>
  <c r="AF8" i="9"/>
  <c r="P8" i="9"/>
  <c r="AF7" i="9"/>
  <c r="P7" i="9"/>
  <c r="AF6" i="9"/>
  <c r="P6" i="9"/>
  <c r="AF5" i="9"/>
  <c r="P5" i="9"/>
  <c r="P30" i="9" l="1"/>
  <c r="P29" i="9"/>
  <c r="P28" i="9"/>
  <c r="P27" i="9"/>
  <c r="P25" i="9"/>
  <c r="P26" i="9"/>
  <c r="P23" i="9"/>
  <c r="P24" i="9"/>
  <c r="P21" i="9"/>
  <c r="AF21" i="9" s="1"/>
  <c r="P20" i="9"/>
  <c r="AF20" i="9" s="1"/>
  <c r="P22" i="9"/>
  <c r="AF8" i="1"/>
  <c r="AF7" i="1" l="1"/>
  <c r="AF6" i="1" l="1"/>
  <c r="AF5" i="1" l="1"/>
  <c r="P16" i="1" l="1"/>
  <c r="C20" i="4" l="1"/>
  <c r="S20" i="4" s="1"/>
  <c r="O20" i="4"/>
  <c r="AE20" i="4" s="1"/>
  <c r="N20" i="4"/>
  <c r="AD20" i="4" s="1"/>
  <c r="M20" i="4"/>
  <c r="AC20" i="4" s="1"/>
  <c r="L20" i="4"/>
  <c r="AB20" i="4" s="1"/>
  <c r="K20" i="4"/>
  <c r="AA20" i="4" s="1"/>
  <c r="J20" i="4"/>
  <c r="Z20" i="4" s="1"/>
  <c r="I20" i="4"/>
  <c r="Y20" i="4" s="1"/>
  <c r="H20" i="4"/>
  <c r="X20" i="4" s="1"/>
  <c r="G20" i="4"/>
  <c r="W20" i="4" s="1"/>
  <c r="F20" i="4"/>
  <c r="V20" i="4" s="1"/>
  <c r="D20" i="4"/>
  <c r="T20" i="4" s="1"/>
  <c r="O30" i="4"/>
  <c r="N30" i="4"/>
  <c r="M30" i="4"/>
  <c r="L30" i="4"/>
  <c r="K30" i="4"/>
  <c r="J30" i="4"/>
  <c r="I30" i="4"/>
  <c r="H30" i="4"/>
  <c r="G30" i="4"/>
  <c r="F30" i="4"/>
  <c r="D30" i="4"/>
  <c r="C30" i="4"/>
  <c r="O29" i="4"/>
  <c r="N29" i="4"/>
  <c r="M29" i="4"/>
  <c r="L29" i="4"/>
  <c r="K29" i="4"/>
  <c r="J29" i="4"/>
  <c r="I29" i="4"/>
  <c r="H29" i="4"/>
  <c r="G29" i="4"/>
  <c r="F29" i="4"/>
  <c r="D29" i="4"/>
  <c r="O28" i="4"/>
  <c r="N28" i="4"/>
  <c r="M28" i="4"/>
  <c r="L28" i="4"/>
  <c r="K28" i="4"/>
  <c r="J28" i="4"/>
  <c r="I28" i="4"/>
  <c r="H28" i="4"/>
  <c r="G28" i="4"/>
  <c r="F28" i="4"/>
  <c r="D28" i="4"/>
  <c r="C28" i="4"/>
  <c r="O27" i="4"/>
  <c r="N27" i="4"/>
  <c r="M27" i="4"/>
  <c r="L27" i="4"/>
  <c r="K27" i="4"/>
  <c r="J27" i="4"/>
  <c r="I27" i="4"/>
  <c r="H27" i="4"/>
  <c r="G27" i="4"/>
  <c r="F27" i="4"/>
  <c r="D27" i="4"/>
  <c r="C27" i="4"/>
  <c r="O26" i="4"/>
  <c r="N26" i="4"/>
  <c r="M26" i="4"/>
  <c r="L26" i="4"/>
  <c r="K26" i="4"/>
  <c r="J26" i="4"/>
  <c r="I26" i="4"/>
  <c r="H26" i="4"/>
  <c r="G26" i="4"/>
  <c r="F26" i="4"/>
  <c r="D26" i="4"/>
  <c r="C26" i="4"/>
  <c r="O25" i="4"/>
  <c r="N25" i="4"/>
  <c r="M25" i="4"/>
  <c r="L25" i="4"/>
  <c r="K25" i="4"/>
  <c r="J25" i="4"/>
  <c r="I25" i="4"/>
  <c r="H25" i="4"/>
  <c r="G25" i="4"/>
  <c r="F25" i="4"/>
  <c r="D25" i="4"/>
  <c r="C25" i="4"/>
  <c r="O24" i="4"/>
  <c r="M24" i="4"/>
  <c r="L24" i="4"/>
  <c r="K24" i="4"/>
  <c r="J24" i="4"/>
  <c r="I24" i="4"/>
  <c r="H24" i="4"/>
  <c r="G24" i="4"/>
  <c r="F24" i="4"/>
  <c r="D24" i="4"/>
  <c r="C24" i="4"/>
  <c r="O23" i="4"/>
  <c r="N23" i="4"/>
  <c r="M23" i="4"/>
  <c r="L23" i="4"/>
  <c r="K23" i="4"/>
  <c r="J23" i="4"/>
  <c r="I23" i="4"/>
  <c r="H23" i="4"/>
  <c r="G23" i="4"/>
  <c r="F23" i="4"/>
  <c r="D23" i="4"/>
  <c r="C23" i="4"/>
  <c r="O22" i="4"/>
  <c r="N22" i="4"/>
  <c r="M22" i="4"/>
  <c r="L22" i="4"/>
  <c r="K22" i="4"/>
  <c r="J22" i="4"/>
  <c r="I22" i="4"/>
  <c r="H22" i="4"/>
  <c r="G22" i="4"/>
  <c r="F22" i="4"/>
  <c r="D22" i="4"/>
  <c r="C22" i="4"/>
  <c r="O21" i="4"/>
  <c r="AE21" i="4" s="1"/>
  <c r="N21" i="4"/>
  <c r="AD21" i="4" s="1"/>
  <c r="M21" i="4"/>
  <c r="AC21" i="4" s="1"/>
  <c r="L21" i="4"/>
  <c r="AB21" i="4" s="1"/>
  <c r="K21" i="4"/>
  <c r="AA21" i="4" s="1"/>
  <c r="J21" i="4"/>
  <c r="Z21" i="4" s="1"/>
  <c r="I21" i="4"/>
  <c r="Y21" i="4" s="1"/>
  <c r="H21" i="4"/>
  <c r="X21" i="4" s="1"/>
  <c r="G21" i="4"/>
  <c r="W21" i="4" s="1"/>
  <c r="F21" i="4"/>
  <c r="V21" i="4" s="1"/>
  <c r="D21" i="4"/>
  <c r="T21" i="4" s="1"/>
  <c r="C21" i="4"/>
  <c r="S21" i="4" s="1"/>
  <c r="AF6" i="4" l="1"/>
  <c r="AF16" i="4" l="1"/>
  <c r="AF15" i="4"/>
  <c r="AF14" i="4"/>
  <c r="AF13" i="4"/>
  <c r="AF12" i="4"/>
  <c r="AF11" i="4"/>
  <c r="AF10" i="4"/>
  <c r="AF9" i="4"/>
  <c r="AF8" i="4"/>
  <c r="AF7" i="4"/>
  <c r="AF5" i="4"/>
  <c r="P16" i="4"/>
  <c r="P15" i="4"/>
  <c r="P14" i="4"/>
  <c r="P13" i="4"/>
  <c r="P12" i="4"/>
  <c r="P11" i="4"/>
  <c r="P10" i="4"/>
  <c r="P9" i="4"/>
  <c r="P8" i="4"/>
  <c r="P7" i="4"/>
  <c r="P6" i="4"/>
  <c r="P5" i="4"/>
  <c r="P6" i="1" l="1"/>
  <c r="P7" i="1"/>
  <c r="P8" i="1"/>
  <c r="P9" i="1"/>
  <c r="P10" i="1"/>
  <c r="P11" i="1"/>
  <c r="P12" i="1"/>
  <c r="P13" i="1"/>
  <c r="P14" i="1"/>
  <c r="P15" i="1"/>
  <c r="P5" i="1"/>
  <c r="P30" i="4" l="1"/>
  <c r="P20" i="4"/>
  <c r="AF20" i="4" s="1"/>
  <c r="P23" i="4"/>
  <c r="P26" i="4"/>
  <c r="P29" i="4"/>
  <c r="P21" i="4"/>
  <c r="AF21" i="4" s="1"/>
  <c r="P28" i="4"/>
  <c r="P22" i="4"/>
  <c r="P24" i="4"/>
  <c r="P25" i="4"/>
  <c r="P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tc={442FD2C5-A224-4FB8-8E03-24D04959320A}</author>
    <author>tc={5D2F2EDF-0EB5-4296-94FC-F8BDB5B12680}</author>
  </authors>
  <commentList>
    <comment ref="T29" authorId="0" shapeId="0" xr:uid="{442FD2C5-A224-4FB8-8E03-24D04959320A}">
      <text>
        <t>[Trådad kommentar]
I din version av Excel kan du läsa den här trådade kommentaren, men eventuella ändringar i den tas bort om filen öppnas i en senare version av Excel. Läs mer: https://go.microsoft.com/fwlink/?linkid=870924
Kommentar:
    Jag är osäker på hela denna rad pga den kraftiga ökningen.</t>
      </text>
    </comment>
    <comment ref="W29" authorId="1" shapeId="0" xr:uid="{5D2F2EDF-0EB5-4296-94FC-F8BDB5B12680}">
      <text>
        <t>[Trådad kommentar]
I din version av Excel kan du läsa den här trådade kommentaren, men eventuella ändringar i den tas bort om filen öppnas i en senare version av Excel. Läs mer: https://go.microsoft.com/fwlink/?linkid=870924
Kommentar:
    denna känns helt fel</t>
      </text>
    </comment>
  </commentList>
</comments>
</file>

<file path=xl/sharedStrings.xml><?xml version="1.0" encoding="utf-8"?>
<sst xmlns="http://schemas.openxmlformats.org/spreadsheetml/2006/main" count="431" uniqueCount="56">
  <si>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</si>
  <si>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</si>
  <si>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</si>
  <si>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</si>
  <si>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</si>
  <si>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</si>
  <si>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</si>
  <si>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</si>
  <si>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</si>
  <si>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</si>
  <si>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</si>
  <si>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</si>
  <si>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Ale</t>
  </si>
  <si>
    <t>Härryda</t>
  </si>
  <si>
    <t>Partille</t>
  </si>
  <si>
    <t>Öckerö</t>
  </si>
  <si>
    <t>Stenungsund</t>
  </si>
  <si>
    <t>Tjörn</t>
  </si>
  <si>
    <t>Lerum</t>
  </si>
  <si>
    <t>Lilla Edet</t>
  </si>
  <si>
    <t>Göteborg</t>
  </si>
  <si>
    <t>Mölndal</t>
  </si>
  <si>
    <t>Kungälv</t>
  </si>
  <si>
    <t>Alingsås</t>
  </si>
  <si>
    <t>Arbetslösa i Program  i GR</t>
  </si>
  <si>
    <t xml:space="preserve"> Arbetslösa och i Program GR i antal </t>
  </si>
  <si>
    <t>Riket</t>
  </si>
  <si>
    <t>Kungsbacka</t>
  </si>
  <si>
    <t>Ungdomar i Program  i GR</t>
  </si>
  <si>
    <t xml:space="preserve">Ungdomar i GR Arbetslösa och i Program  i antal </t>
  </si>
  <si>
    <t>Totalt</t>
  </si>
  <si>
    <t>Ungdomar i GR Arbetslösa och i Program  i %  *(andel av registerbaserade arbetskraften totalt)</t>
  </si>
  <si>
    <t>Arbetslösa och i Program GR i %  *(andel av registerbaserade arbetskraften totalt)</t>
  </si>
  <si>
    <t>Öppet arbetslösa i GR (16-64år)</t>
  </si>
  <si>
    <t>Öppet arbetslösa Ungdomar i GR (18-24år)</t>
  </si>
  <si>
    <t>Öppet arbetslösa utrikesfödda i GR (16-64år)</t>
  </si>
  <si>
    <t>Utrikesfödda i Program  i GR</t>
  </si>
  <si>
    <t xml:space="preserve">Utrikesfödda i GR Arbetslösa och i Program  i antal </t>
  </si>
  <si>
    <t>Utrikesfödda i GR Arbetslösa och i Program  i %  *(andel av registerbaserade arbetskraften totalt)</t>
  </si>
  <si>
    <t>GR</t>
  </si>
  <si>
    <t>2021, Arbetslösa samt arbetslösa i program i GR i åldrarna 16-64 år</t>
  </si>
  <si>
    <t>2021, Arbetslösa och arbetslösa i program i GR i åldrarna 18-24 år</t>
  </si>
  <si>
    <t>2021, Utrikesfödda arbetslösa och arbetslösa i program i GR i åldrarna 16-64 år</t>
  </si>
  <si>
    <t>PERIOD</t>
  </si>
  <si>
    <t>KOMMUN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</si>
  <si>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</si>
  <si>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</si>
  <si>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</si>
  <si>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</si>
  <si>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</si>
  <si>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</si>
  <si>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</si>
  <si>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</si>
  <si>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</si>
  <si>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</si>
  <si>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 xml:space="preserve">GR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</si>
</sst>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Franklin Gothic Medium"/>
      <family val="2"/>
    </font>
    <font>
      <sz val="9"/>
      <color theme="0"/>
      <name val="Franklin Gothic Medium"/>
      <family val="2"/>
    </font>
    <font>
      <b/>
      <sz val="4"/>
      <name val="Franklin Gothic Medium"/>
      <family val="2"/>
    </font>
    <font>
      <sz val="6"/>
      <color theme="1"/>
      <name val="Franklin Gothic Medium"/>
      <family val="2"/>
    </font>
    <font>
      <sz val="6"/>
      <color theme="0"/>
      <name val="Franklin Gothic Medium"/>
      <family val="2"/>
    </font>
    <font>
      <sz val="6"/>
      <name val="Franklin Gothic Medium"/>
      <family val="2"/>
    </font>
    <font>
      <sz val="8"/>
      <name val="Franklin Gothic Medium"/>
      <family val="2"/>
    </font>
    <font>
      <sz val="4"/>
      <name val="Franklin Gothic Medium"/>
      <family val="2"/>
    </font>
    <font>
      <b/>
      <sz val="10"/>
      <name val="Franklin Gothic Medium"/>
      <family val="2"/>
    </font>
    <font>
      <sz val="8"/>
      <color theme="0"/>
      <name val="Franklin Gothic Medium"/>
      <family val="2"/>
    </font>
    <font>
      <sz val="10"/>
      <color theme="0"/>
      <name val="Franklin Gothic Medium"/>
      <family val="2"/>
    </font>
    <font>
      <sz val="11"/>
      <name val="Franklin Gothic Medium"/>
      <family val="2"/>
    </font>
    <font>
      <sz val="9"/>
      <name val="Franklin Gothic Medium"/>
      <family val="2"/>
    </font>
    <font>
      <sz val="9"/>
      <color theme="1"/>
      <name val="Franklin Gothic Medium"/>
      <family val="2"/>
    </font>
    <font>
      <sz val="10"/>
      <color rgb="FFFF0000"/>
      <name val="Franklin Gothic Medium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696"/>
        <bgColor indexed="64"/>
      </patternFill>
    </fill>
    <fill>
      <patternFill patternType="solid">
        <fgColor rgb="FF82E1E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/>
    <xf numFmtId="0" fontId="11" fillId="2" borderId="0" xfId="0" applyFont="1" applyFill="1"/>
    <xf numFmtId="0" fontId="5" fillId="3" borderId="0" xfId="0" applyFont="1" applyFill="1" applyAlignment="1"/>
    <xf numFmtId="0" fontId="10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4" fillId="3" borderId="0" xfId="0" applyFont="1" applyFill="1" applyAlignment="1"/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166" fontId="16" fillId="2" borderId="0" xfId="1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66" fontId="17" fillId="4" borderId="0" xfId="1" applyNumberFormat="1" applyFont="1" applyFill="1" applyBorder="1" applyAlignment="1">
      <alignment horizontal="center" vertical="center"/>
    </xf>
    <xf numFmtId="166" fontId="16" fillId="4" borderId="0" xfId="1" applyNumberFormat="1" applyFont="1" applyFill="1" applyBorder="1" applyAlignment="1">
      <alignment horizontal="center" vertical="center"/>
    </xf>
    <xf numFmtId="3" fontId="16" fillId="4" borderId="0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166" fontId="17" fillId="4" borderId="2" xfId="1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5" fontId="17" fillId="4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3" fontId="16" fillId="4" borderId="2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165" fontId="17" fillId="4" borderId="4" xfId="0" applyNumberFormat="1" applyFont="1" applyFill="1" applyBorder="1" applyAlignment="1">
      <alignment horizontal="center" vertical="center"/>
    </xf>
    <xf numFmtId="3" fontId="17" fillId="4" borderId="2" xfId="0" applyNumberFormat="1" applyFont="1" applyFill="1" applyBorder="1" applyAlignment="1">
      <alignment horizontal="center" vertical="center"/>
    </xf>
    <xf numFmtId="3" fontId="16" fillId="2" borderId="0" xfId="1" applyNumberFormat="1" applyFont="1" applyFill="1" applyBorder="1" applyAlignment="1">
      <alignment horizontal="center" vertical="center"/>
    </xf>
    <xf numFmtId="3" fontId="17" fillId="4" borderId="0" xfId="1" applyNumberFormat="1" applyFont="1" applyFill="1" applyBorder="1" applyAlignment="1">
      <alignment horizontal="center" vertical="center"/>
    </xf>
    <xf numFmtId="3" fontId="16" fillId="2" borderId="0" xfId="2" applyNumberFormat="1" applyFont="1" applyFill="1" applyBorder="1" applyAlignment="1">
      <alignment horizontal="center" vertical="center"/>
    </xf>
    <xf numFmtId="3" fontId="17" fillId="4" borderId="0" xfId="2" applyNumberFormat="1" applyFont="1" applyFill="1" applyBorder="1" applyAlignment="1">
      <alignment horizontal="center" vertical="center"/>
    </xf>
    <xf numFmtId="3" fontId="17" fillId="4" borderId="2" xfId="2" applyNumberFormat="1" applyFont="1" applyFill="1" applyBorder="1" applyAlignment="1">
      <alignment horizontal="center" vertical="center"/>
    </xf>
    <xf numFmtId="3" fontId="17" fillId="4" borderId="2" xfId="1" applyNumberFormat="1" applyFont="1" applyFill="1" applyBorder="1" applyAlignment="1">
      <alignment horizontal="center" vertical="center"/>
    </xf>
    <xf numFmtId="3" fontId="16" fillId="4" borderId="0" xfId="1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/>
    </xf>
  </cellXfs>
  <cellStyles count="3">
    <cellStyle name="Normal" xfId="0" builtinId="0"/>
    <cellStyle name="Tusental" xfId="1" builtinId="3"/>
    <cellStyle name="Valuta" xfId="2" builtinId="4"/>
  </cellStyles>
  <dxfs count="0"/>
  <tableStyles count="0" defaultTableStyle="TableStyleMedium2" defaultPivotStyle="PivotStyleLight16"/>
  <colors>
    <mruColors>
      <color rgb="FF82E1E1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3.xml"/><Relationship Id="rId15" Type="http://schemas.microsoft.com/office/2017/10/relationships/person" Target="persons/person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latin typeface="Franklin Gothic Medium" panose="020B0603020102020204" pitchFamily="34" charset="0"/>
              </a:defRPr>
            </a:pPr>
            <a:r>
              <a:rPr lang="sv-SE" sz="1000" b="0" i="0" baseline="0">
                <a:effectLst/>
                <a:latin typeface="Franklin Gothic Medium" panose="020B0603020102020204" pitchFamily="34" charset="0"/>
              </a:rPr>
              <a:t>Göteborg arbetslösa och i program 16-64 år</a:t>
            </a:r>
            <a:endParaRPr lang="sv-SE" sz="1000" b="0">
              <a:effectLst/>
              <a:latin typeface="Franklin Gothic Medium" panose="020B06030201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'Alla arbetslösa 16-64 år'!$E$19</c:f>
              <c:strCache>
                <c:ptCount val="1"/>
                <c:pt idx="0">
                  <c:v>Göteborg</c:v>
                </c:pt>
              </c:strCache>
            </c:strRef>
          </c:tx>
          <c:invertIfNegative val="0"/>
          <c:cat>
            <c:strRef>
              <c:f>'Alla arbetslösa 16-64 år'!$B$20:$B$31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'Alla arbetslösa 16-64 år'!$E$20:$E$31</c:f>
              <c:numCache>
                <c:formatCode>#,##0</c:formatCode>
                <c:ptCount val="12"/>
                <c:pt idx="0">
                  <c:v>31548</c:v>
                </c:pt>
                <c:pt idx="1">
                  <c:v>31044</c:v>
                </c:pt>
                <c:pt idx="2">
                  <c:v>30032</c:v>
                </c:pt>
                <c:pt idx="3">
                  <c:v>29151</c:v>
                </c:pt>
                <c:pt idx="4">
                  <c:v>28378</c:v>
                </c:pt>
                <c:pt idx="5">
                  <c:v>28107</c:v>
                </c:pt>
                <c:pt idx="6">
                  <c:v>28242</c:v>
                </c:pt>
                <c:pt idx="7">
                  <c:v>27490</c:v>
                </c:pt>
                <c:pt idx="8">
                  <c:v>26320</c:v>
                </c:pt>
                <c:pt idx="9">
                  <c:v>25149</c:v>
                </c:pt>
                <c:pt idx="10">
                  <c:v>24249</c:v>
                </c:pt>
                <c:pt idx="11">
                  <c:v>24076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0-420A-BDB3-D0A921AF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47456"/>
        <c:axId val="84548992"/>
      </c:barChart>
      <c:catAx>
        <c:axId val="845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Franklin Gothic Medium" panose="020B0603020102020204" pitchFamily="34" charset="0"/>
              </a:defRPr>
            </a:pPr>
            <a:endParaRPr lang="sv-SE"/>
          </a:p>
        </c:txPr>
        <c:crossAx val="84548992"/>
        <c:crosses val="autoZero"/>
        <c:auto val="1"/>
        <c:lblAlgn val="ctr"/>
        <c:lblOffset val="100"/>
        <c:noMultiLvlLbl val="0"/>
      </c:catAx>
      <c:valAx>
        <c:axId val="84548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5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Arbetslösa och i program </a:t>
            </a:r>
            <a:r>
              <a:rPr lang="sv-SE" sz="1800" b="0" i="0" u="none" strike="noStrike" baseline="0">
                <a:effectLst/>
                <a:latin typeface="Franklin Gothic Medium" panose="020B0603020102020204" pitchFamily="34" charset="0"/>
              </a:rPr>
              <a:t>(antal personer) </a:t>
            </a:r>
            <a:r>
              <a:rPr lang="sv-SE" sz="1800" b="0">
                <a:latin typeface="Franklin Gothic Medium" panose="020B0603020102020204" pitchFamily="34" charset="0"/>
              </a:rPr>
              <a:t>16-64 år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62736015641397E-2"/>
          <c:y val="0.2331075540785425"/>
          <c:w val="0.91575630103034178"/>
          <c:h val="0.3708700185556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'Alla arbetslösa 16-64 år'!$B$20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år'!$C$20:$D$20,'Alla arbetslösa 16-64 år'!$F$20:$O$20)</c:f>
              <c:numCache>
                <c:formatCode>#,##0</c:formatCode>
                <c:ptCount val="12"/>
                <c:pt idx="0">
                  <c:v>955</c:v>
                </c:pt>
                <c:pt idx="1">
                  <c:v>1355</c:v>
                </c:pt>
                <c:pt idx="2">
                  <c:v>992</c:v>
                </c:pt>
                <c:pt idx="3">
                  <c:v>1878</c:v>
                </c:pt>
                <c:pt idx="4">
                  <c:v>1205</c:v>
                </c:pt>
                <c:pt idx="5">
                  <c:v>1076</c:v>
                </c:pt>
                <c:pt idx="6">
                  <c:v>515</c:v>
                </c:pt>
                <c:pt idx="7">
                  <c:v>2066</c:v>
                </c:pt>
                <c:pt idx="8">
                  <c:v>1308</c:v>
                </c:pt>
                <c:pt idx="9">
                  <c:v>675</c:v>
                </c:pt>
                <c:pt idx="10">
                  <c:v>311</c:v>
                </c:pt>
                <c:pt idx="11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3-4279-9DE9-14F6561D7629}"/>
            </c:ext>
          </c:extLst>
        </c:ser>
        <c:ser>
          <c:idx val="1"/>
          <c:order val="1"/>
          <c:tx>
            <c:strRef>
              <c:f>'Alla arbetslösa 16-64 år'!$B$21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år'!$C$21:$D$21,'Alla arbetslösa 16-64 år'!$F$21:$O$21)</c:f>
              <c:numCache>
                <c:formatCode>#,##0</c:formatCode>
                <c:ptCount val="12"/>
                <c:pt idx="0">
                  <c:v>930</c:v>
                </c:pt>
                <c:pt idx="1">
                  <c:v>1324</c:v>
                </c:pt>
                <c:pt idx="2">
                  <c:v>961</c:v>
                </c:pt>
                <c:pt idx="3">
                  <c:v>1838</c:v>
                </c:pt>
                <c:pt idx="4">
                  <c:v>1180</c:v>
                </c:pt>
                <c:pt idx="5">
                  <c:v>1062</c:v>
                </c:pt>
                <c:pt idx="6">
                  <c:v>500</c:v>
                </c:pt>
                <c:pt idx="7">
                  <c:v>2072</c:v>
                </c:pt>
                <c:pt idx="8">
                  <c:v>1286</c:v>
                </c:pt>
                <c:pt idx="9">
                  <c:v>668</c:v>
                </c:pt>
                <c:pt idx="10">
                  <c:v>297</c:v>
                </c:pt>
                <c:pt idx="11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3-4279-9DE9-14F6561D7629}"/>
            </c:ext>
          </c:extLst>
        </c:ser>
        <c:ser>
          <c:idx val="2"/>
          <c:order val="2"/>
          <c:tx>
            <c:strRef>
              <c:f>'Alla arbetslösa 16-64 år'!$B$22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år'!$C$22:$D$22,'Alla arbetslösa 16-64 år'!$F$22:$O$22)</c:f>
              <c:numCache>
                <c:formatCode>#,##0</c:formatCode>
                <c:ptCount val="12"/>
                <c:pt idx="0">
                  <c:v>896</c:v>
                </c:pt>
                <c:pt idx="1">
                  <c:v>1238</c:v>
                </c:pt>
                <c:pt idx="2">
                  <c:v>909</c:v>
                </c:pt>
                <c:pt idx="3">
                  <c:v>1757</c:v>
                </c:pt>
                <c:pt idx="4">
                  <c:v>1145</c:v>
                </c:pt>
                <c:pt idx="5">
                  <c:v>973</c:v>
                </c:pt>
                <c:pt idx="6">
                  <c:v>486</c:v>
                </c:pt>
                <c:pt idx="7">
                  <c:v>1956</c:v>
                </c:pt>
                <c:pt idx="8">
                  <c:v>1255</c:v>
                </c:pt>
                <c:pt idx="9">
                  <c:v>641</c:v>
                </c:pt>
                <c:pt idx="10">
                  <c:v>287</c:v>
                </c:pt>
                <c:pt idx="1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3-4279-9DE9-14F6561D7629}"/>
            </c:ext>
          </c:extLst>
        </c:ser>
        <c:ser>
          <c:idx val="3"/>
          <c:order val="3"/>
          <c:tx>
            <c:strRef>
              <c:f>'Alla arbetslösa 16-64 år'!$B$23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år'!$C$23:$D$23,'Alla arbetslösa 16-64 år'!$F$23:$O$23)</c:f>
              <c:numCache>
                <c:formatCode>#,##0</c:formatCode>
                <c:ptCount val="12"/>
                <c:pt idx="0">
                  <c:v>841</c:v>
                </c:pt>
                <c:pt idx="1">
                  <c:v>1169</c:v>
                </c:pt>
                <c:pt idx="2">
                  <c:v>869</c:v>
                </c:pt>
                <c:pt idx="3">
                  <c:v>1666</c:v>
                </c:pt>
                <c:pt idx="4">
                  <c:v>1093</c:v>
                </c:pt>
                <c:pt idx="5">
                  <c:v>934</c:v>
                </c:pt>
                <c:pt idx="6">
                  <c:v>462</c:v>
                </c:pt>
                <c:pt idx="7">
                  <c:v>1902</c:v>
                </c:pt>
                <c:pt idx="8">
                  <c:v>1228</c:v>
                </c:pt>
                <c:pt idx="9">
                  <c:v>617</c:v>
                </c:pt>
                <c:pt idx="10">
                  <c:v>278</c:v>
                </c:pt>
                <c:pt idx="11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53-4279-9DE9-14F6561D7629}"/>
            </c:ext>
          </c:extLst>
        </c:ser>
        <c:ser>
          <c:idx val="4"/>
          <c:order val="4"/>
          <c:tx>
            <c:strRef>
              <c:f>'Alla arbetslösa 16-64 år'!$B$24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år'!$C$24:$D$24,'Alla arbetslösa 16-64 år'!$F$24:$O$24)</c:f>
              <c:numCache>
                <c:formatCode>#,##0</c:formatCode>
                <c:ptCount val="12"/>
                <c:pt idx="0">
                  <c:v>820</c:v>
                </c:pt>
                <c:pt idx="1">
                  <c:v>1139</c:v>
                </c:pt>
                <c:pt idx="2">
                  <c:v>829</c:v>
                </c:pt>
                <c:pt idx="3">
                  <c:v>1566</c:v>
                </c:pt>
                <c:pt idx="4">
                  <c:v>1083</c:v>
                </c:pt>
                <c:pt idx="5">
                  <c:v>905</c:v>
                </c:pt>
                <c:pt idx="6">
                  <c:v>460</c:v>
                </c:pt>
                <c:pt idx="7">
                  <c:v>1817</c:v>
                </c:pt>
                <c:pt idx="8">
                  <c:v>1197</c:v>
                </c:pt>
                <c:pt idx="9">
                  <c:v>593</c:v>
                </c:pt>
                <c:pt idx="10">
                  <c:v>270</c:v>
                </c:pt>
                <c:pt idx="11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53-4279-9DE9-14F6561D7629}"/>
            </c:ext>
          </c:extLst>
        </c:ser>
        <c:ser>
          <c:idx val="5"/>
          <c:order val="5"/>
          <c:tx>
            <c:strRef>
              <c:f>'Alla arbetslösa 16-64 år'!$B$25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år'!$C$25:$D$25,'Alla arbetslösa 16-64 år'!$F$25:$O$25)</c:f>
              <c:numCache>
                <c:formatCode>#,##0</c:formatCode>
                <c:ptCount val="12"/>
                <c:pt idx="0">
                  <c:v>827</c:v>
                </c:pt>
                <c:pt idx="1">
                  <c:v>1153</c:v>
                </c:pt>
                <c:pt idx="2">
                  <c:v>825</c:v>
                </c:pt>
                <c:pt idx="3">
                  <c:v>1547</c:v>
                </c:pt>
                <c:pt idx="4">
                  <c:v>1075</c:v>
                </c:pt>
                <c:pt idx="5">
                  <c:v>927</c:v>
                </c:pt>
                <c:pt idx="6">
                  <c:v>472</c:v>
                </c:pt>
                <c:pt idx="7">
                  <c:v>1835</c:v>
                </c:pt>
                <c:pt idx="8">
                  <c:v>1194</c:v>
                </c:pt>
                <c:pt idx="9">
                  <c:v>591</c:v>
                </c:pt>
                <c:pt idx="10">
                  <c:v>251</c:v>
                </c:pt>
                <c:pt idx="11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53-4279-9DE9-14F6561D7629}"/>
            </c:ext>
          </c:extLst>
        </c:ser>
        <c:ser>
          <c:idx val="6"/>
          <c:order val="6"/>
          <c:tx>
            <c:strRef>
              <c:f>'Alla arbetslösa 16-64 år'!$B$26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år'!$C$26:$D$26,'Alla arbetslösa 16-64 år'!$F$26:$O$26)</c:f>
              <c:numCache>
                <c:formatCode>#,##0</c:formatCode>
                <c:ptCount val="12"/>
                <c:pt idx="0">
                  <c:v>803</c:v>
                </c:pt>
                <c:pt idx="1">
                  <c:v>1142</c:v>
                </c:pt>
                <c:pt idx="2">
                  <c:v>799</c:v>
                </c:pt>
                <c:pt idx="3">
                  <c:v>1565</c:v>
                </c:pt>
                <c:pt idx="4">
                  <c:v>1066</c:v>
                </c:pt>
                <c:pt idx="5">
                  <c:v>946</c:v>
                </c:pt>
                <c:pt idx="6">
                  <c:v>466</c:v>
                </c:pt>
                <c:pt idx="7">
                  <c:v>1845</c:v>
                </c:pt>
                <c:pt idx="8">
                  <c:v>1234</c:v>
                </c:pt>
                <c:pt idx="9">
                  <c:v>609</c:v>
                </c:pt>
                <c:pt idx="10">
                  <c:v>246</c:v>
                </c:pt>
                <c:pt idx="1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53-4279-9DE9-14F6561D7629}"/>
            </c:ext>
          </c:extLst>
        </c:ser>
        <c:ser>
          <c:idx val="7"/>
          <c:order val="7"/>
          <c:tx>
            <c:strRef>
              <c:f>'Alla arbetslösa 16-64 år'!$B$27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år'!$C$27:$D$27,'Alla arbetslösa 16-64 år'!$F$27:$O$27)</c:f>
              <c:numCache>
                <c:formatCode>#,##0</c:formatCode>
                <c:ptCount val="12"/>
                <c:pt idx="0">
                  <c:v>779</c:v>
                </c:pt>
                <c:pt idx="1">
                  <c:v>1069</c:v>
                </c:pt>
                <c:pt idx="2">
                  <c:v>767</c:v>
                </c:pt>
                <c:pt idx="3">
                  <c:v>1495</c:v>
                </c:pt>
                <c:pt idx="4">
                  <c:v>1046</c:v>
                </c:pt>
                <c:pt idx="5">
                  <c:v>908</c:v>
                </c:pt>
                <c:pt idx="6">
                  <c:v>465</c:v>
                </c:pt>
                <c:pt idx="7">
                  <c:v>1755</c:v>
                </c:pt>
                <c:pt idx="8">
                  <c:v>1165</c:v>
                </c:pt>
                <c:pt idx="9">
                  <c:v>571</c:v>
                </c:pt>
                <c:pt idx="10">
                  <c:v>253</c:v>
                </c:pt>
                <c:pt idx="1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53-4279-9DE9-14F6561D7629}"/>
            </c:ext>
          </c:extLst>
        </c:ser>
        <c:ser>
          <c:idx val="8"/>
          <c:order val="8"/>
          <c:tx>
            <c:strRef>
              <c:f>'Alla arbetslösa 16-64 år'!$B$28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år'!$C$28:$D$28,'Alla arbetslösa 16-64 år'!$F$28:$O$28)</c:f>
              <c:numCache>
                <c:formatCode>#,##0</c:formatCode>
                <c:ptCount val="12"/>
                <c:pt idx="0">
                  <c:v>748</c:v>
                </c:pt>
                <c:pt idx="1">
                  <c:v>1052</c:v>
                </c:pt>
                <c:pt idx="2">
                  <c:v>710</c:v>
                </c:pt>
                <c:pt idx="3">
                  <c:v>1445</c:v>
                </c:pt>
                <c:pt idx="4">
                  <c:v>994</c:v>
                </c:pt>
                <c:pt idx="5">
                  <c:v>879</c:v>
                </c:pt>
                <c:pt idx="6">
                  <c:v>437</c:v>
                </c:pt>
                <c:pt idx="7">
                  <c:v>1679</c:v>
                </c:pt>
                <c:pt idx="8">
                  <c:v>1105</c:v>
                </c:pt>
                <c:pt idx="9">
                  <c:v>555</c:v>
                </c:pt>
                <c:pt idx="10">
                  <c:v>229</c:v>
                </c:pt>
                <c:pt idx="1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53-4279-9DE9-14F6561D7629}"/>
            </c:ext>
          </c:extLst>
        </c:ser>
        <c:ser>
          <c:idx val="9"/>
          <c:order val="9"/>
          <c:tx>
            <c:strRef>
              <c:f>'Alla arbetslösa 16-64 år'!$B$29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år'!$C$29:$D$29,'Alla arbetslösa 16-64 år'!$F$29:$O$29)</c:f>
              <c:numCache>
                <c:formatCode>#,##0</c:formatCode>
                <c:ptCount val="12"/>
                <c:pt idx="0">
                  <c:v>735</c:v>
                </c:pt>
                <c:pt idx="1">
                  <c:v>1029</c:v>
                </c:pt>
                <c:pt idx="2">
                  <c:v>711</c:v>
                </c:pt>
                <c:pt idx="3">
                  <c:v>1378</c:v>
                </c:pt>
                <c:pt idx="4">
                  <c:v>964</c:v>
                </c:pt>
                <c:pt idx="5">
                  <c:v>841</c:v>
                </c:pt>
                <c:pt idx="6">
                  <c:v>434</c:v>
                </c:pt>
                <c:pt idx="7">
                  <c:v>1630</c:v>
                </c:pt>
                <c:pt idx="8">
                  <c:v>1077</c:v>
                </c:pt>
                <c:pt idx="9">
                  <c:v>549</c:v>
                </c:pt>
                <c:pt idx="10">
                  <c:v>212</c:v>
                </c:pt>
                <c:pt idx="11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53-4279-9DE9-14F6561D7629}"/>
            </c:ext>
          </c:extLst>
        </c:ser>
        <c:ser>
          <c:idx val="10"/>
          <c:order val="10"/>
          <c:tx>
            <c:strRef>
              <c:f>'Alla arbetslösa 16-64 år'!$B$30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år'!$C$30:$D$30,'Alla arbetslösa 16-64 år'!$F$30:$O$30)</c:f>
              <c:numCache>
                <c:formatCode>#,##0</c:formatCode>
                <c:ptCount val="12"/>
                <c:pt idx="0">
                  <c:v>684</c:v>
                </c:pt>
                <c:pt idx="1">
                  <c:v>1012</c:v>
                </c:pt>
                <c:pt idx="2">
                  <c:v>708</c:v>
                </c:pt>
                <c:pt idx="3">
                  <c:v>1327</c:v>
                </c:pt>
                <c:pt idx="4">
                  <c:v>930</c:v>
                </c:pt>
                <c:pt idx="5">
                  <c:v>782</c:v>
                </c:pt>
                <c:pt idx="6">
                  <c:v>436</c:v>
                </c:pt>
                <c:pt idx="7">
                  <c:v>1597</c:v>
                </c:pt>
                <c:pt idx="8">
                  <c:v>1011</c:v>
                </c:pt>
                <c:pt idx="9">
                  <c:v>539</c:v>
                </c:pt>
                <c:pt idx="10">
                  <c:v>205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53-4279-9DE9-14F6561D7629}"/>
            </c:ext>
          </c:extLst>
        </c:ser>
        <c:ser>
          <c:idx val="11"/>
          <c:order val="11"/>
          <c:tx>
            <c:strRef>
              <c:f>'Alla arbetslösa 16-64 år'!$B$31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('Alla arbetslösa 16-64 år'!$C$19:$D$19,'Alla arbetslösa 16-64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('Alla arbetslösa 16-64 år'!$C$31:$D$31,'Alla arbetslösa 16-64 år'!$F$31:$O$31)</c:f>
              <c:numCache>
                <c:formatCode>#,##0</c:formatCode>
                <c:ptCount val="12"/>
                <c:pt idx="0">
                  <c:v>677</c:v>
                </c:pt>
                <c:pt idx="1">
                  <c:v>1043</c:v>
                </c:pt>
                <c:pt idx="2">
                  <c:v>702</c:v>
                </c:pt>
                <c:pt idx="3">
                  <c:v>1328</c:v>
                </c:pt>
                <c:pt idx="4">
                  <c:v>910</c:v>
                </c:pt>
                <c:pt idx="5">
                  <c:v>785</c:v>
                </c:pt>
                <c:pt idx="6">
                  <c:v>443</c:v>
                </c:pt>
                <c:pt idx="7">
                  <c:v>1564</c:v>
                </c:pt>
                <c:pt idx="8">
                  <c:v>1011</c:v>
                </c:pt>
                <c:pt idx="9">
                  <c:v>540</c:v>
                </c:pt>
                <c:pt idx="10">
                  <c:v>219</c:v>
                </c:pt>
                <c:pt idx="11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53-4279-9DE9-14F6561D7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1072"/>
        <c:axId val="37972608"/>
      </c:barChart>
      <c:catAx>
        <c:axId val="379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79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72608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797107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1.8214358543063386E-2"/>
          <c:y val="0.83629450650919901"/>
          <c:w val="0.93731945187514809"/>
          <c:h val="0.1304536606035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Alla arbetslösa och i program i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865566152654643E-2"/>
          <c:y val="0.22014636969887677"/>
          <c:w val="0.9131305088794649"/>
          <c:h val="0.44959657289691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'Alla arbetslösa 16-64 år'!$R$20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år'!$S$20:$AF$20</c:f>
              <c:numCache>
                <c:formatCode>0.0</c:formatCode>
                <c:ptCount val="14"/>
                <c:pt idx="0">
                  <c:v>5.8391929073677771</c:v>
                </c:pt>
                <c:pt idx="1">
                  <c:v>6.5888645757354727</c:v>
                </c:pt>
                <c:pt idx="2">
                  <c:v>9.9521446575204173</c:v>
                </c:pt>
                <c:pt idx="3">
                  <c:v>5.0409065501295798</c:v>
                </c:pt>
                <c:pt idx="4">
                  <c:v>4.3900044414315431</c:v>
                </c:pt>
                <c:pt idx="5">
                  <c:v>5.0072719717431955</c:v>
                </c:pt>
                <c:pt idx="6">
                  <c:v>4.9911865664718436</c:v>
                </c:pt>
                <c:pt idx="7">
                  <c:v>7.1398863163732145</c:v>
                </c:pt>
                <c:pt idx="8">
                  <c:v>5.4292697027829604</c:v>
                </c:pt>
                <c:pt idx="9">
                  <c:v>6.4029763070295678</c:v>
                </c:pt>
                <c:pt idx="10">
                  <c:v>4.9183911396094429</c:v>
                </c:pt>
                <c:pt idx="11">
                  <c:v>4.177300201477502</c:v>
                </c:pt>
                <c:pt idx="12">
                  <c:v>3.744955609362389</c:v>
                </c:pt>
                <c:pt idx="13">
                  <c:v>7.9480268657576891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4-4730-99BC-30083AF2906F}"/>
            </c:ext>
          </c:extLst>
        </c:ser>
        <c:ser>
          <c:idx val="1"/>
          <c:order val="1"/>
          <c:tx>
            <c:strRef>
              <c:f>'Alla arbetslösa 16-64 år'!$R$21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år'!$S$21:$AF$21</c:f>
              <c:numCache>
                <c:formatCode>0.0</c:formatCode>
                <c:ptCount val="14"/>
                <c:pt idx="0">
                  <c:v>5.6950398040416417</c:v>
                </c:pt>
                <c:pt idx="1">
                  <c:v>6.4478426025129059</c:v>
                </c:pt>
                <c:pt idx="2">
                  <c:v>9.8087477448158413</c:v>
                </c:pt>
                <c:pt idx="3">
                  <c:v>4.8910830618892511</c:v>
                </c:pt>
                <c:pt idx="4">
                  <c:v>4.3005217716839423</c:v>
                </c:pt>
                <c:pt idx="5">
                  <c:v>4.9084858569051582</c:v>
                </c:pt>
                <c:pt idx="6">
                  <c:v>4.9294467137021911</c:v>
                </c:pt>
                <c:pt idx="7">
                  <c:v>6.9463739927757713</c:v>
                </c:pt>
                <c:pt idx="8">
                  <c:v>5.4441787750597754</c:v>
                </c:pt>
                <c:pt idx="9">
                  <c:v>6.3020680192100356</c:v>
                </c:pt>
                <c:pt idx="10">
                  <c:v>4.8698695049938037</c:v>
                </c:pt>
                <c:pt idx="11">
                  <c:v>3.9967702866370609</c:v>
                </c:pt>
                <c:pt idx="12">
                  <c:v>3.5737386804657176</c:v>
                </c:pt>
                <c:pt idx="13">
                  <c:v>7.8263034368048947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4-4730-99BC-30083AF2906F}"/>
            </c:ext>
          </c:extLst>
        </c:ser>
        <c:ser>
          <c:idx val="2"/>
          <c:order val="2"/>
          <c:tx>
            <c:strRef>
              <c:f>'Alla arbetslösa 16-64 år'!$R$22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år'!$S$22:$AF$22</c:f>
              <c:numCache>
                <c:formatCode>0.0</c:formatCode>
                <c:ptCount val="14"/>
                <c:pt idx="0">
                  <c:v>5.4982817869415808</c:v>
                </c:pt>
                <c:pt idx="1">
                  <c:v>6.0543818466353674</c:v>
                </c:pt>
                <c:pt idx="2">
                  <c:v>9.5194322320520097</c:v>
                </c:pt>
                <c:pt idx="3">
                  <c:v>4.6387017758726268</c:v>
                </c:pt>
                <c:pt idx="4">
                  <c:v>4.1188053823432886</c:v>
                </c:pt>
                <c:pt idx="5">
                  <c:v>4.7698396167465109</c:v>
                </c:pt>
                <c:pt idx="6">
                  <c:v>4.5350734094616634</c:v>
                </c:pt>
                <c:pt idx="7">
                  <c:v>6.7650334075723837</c:v>
                </c:pt>
                <c:pt idx="8">
                  <c:v>5.1551010726616244</c:v>
                </c:pt>
                <c:pt idx="9">
                  <c:v>6.1595092024539877</c:v>
                </c:pt>
                <c:pt idx="10">
                  <c:v>4.6822498173849523</c:v>
                </c:pt>
                <c:pt idx="11">
                  <c:v>3.867403314917127</c:v>
                </c:pt>
                <c:pt idx="12">
                  <c:v>3.4019115502996926</c:v>
                </c:pt>
                <c:pt idx="13">
                  <c:v>7.5598172689854799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4-4730-99BC-30083AF2906F}"/>
            </c:ext>
          </c:extLst>
        </c:ser>
        <c:ser>
          <c:idx val="3"/>
          <c:order val="3"/>
          <c:tx>
            <c:strRef>
              <c:f>'Alla arbetslösa 16-64 år'!$R$23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år'!$S$23:$AF$23</c:f>
              <c:numCache>
                <c:formatCode>0.0</c:formatCode>
                <c:ptCount val="14"/>
                <c:pt idx="0">
                  <c:v>5.1782525706545162</c:v>
                </c:pt>
                <c:pt idx="1">
                  <c:v>5.7362971686540067</c:v>
                </c:pt>
                <c:pt idx="2">
                  <c:v>9.266052129688493</c:v>
                </c:pt>
                <c:pt idx="3">
                  <c:v>4.4436490079770916</c:v>
                </c:pt>
                <c:pt idx="4">
                  <c:v>3.9138299621772732</c:v>
                </c:pt>
                <c:pt idx="5">
                  <c:v>4.5631027428714566</c:v>
                </c:pt>
                <c:pt idx="6">
                  <c:v>4.3612252521479267</c:v>
                </c:pt>
                <c:pt idx="7">
                  <c:v>6.4525139664804474</c:v>
                </c:pt>
                <c:pt idx="8">
                  <c:v>5.0199266277811505</c:v>
                </c:pt>
                <c:pt idx="9">
                  <c:v>6.0349911539217613</c:v>
                </c:pt>
                <c:pt idx="10">
                  <c:v>4.5148543831406407</c:v>
                </c:pt>
                <c:pt idx="11">
                  <c:v>3.7506745817593092</c:v>
                </c:pt>
                <c:pt idx="12">
                  <c:v>3.3392770303128545</c:v>
                </c:pt>
                <c:pt idx="13">
                  <c:v>7.3302911367610042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4-4730-99BC-30083AF2906F}"/>
            </c:ext>
          </c:extLst>
        </c:ser>
        <c:ser>
          <c:idx val="4"/>
          <c:order val="4"/>
          <c:tx>
            <c:strRef>
              <c:f>'Alla arbetslösa 16-64 år'!$R$24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år'!$S$24:$AF$24</c:f>
              <c:numCache>
                <c:formatCode>0.0</c:formatCode>
                <c:ptCount val="14"/>
                <c:pt idx="0">
                  <c:v>5.0554870530209621</c:v>
                </c:pt>
                <c:pt idx="1">
                  <c:v>5.5973266499582284</c:v>
                </c:pt>
                <c:pt idx="2">
                  <c:v>9.0425616661408998</c:v>
                </c:pt>
                <c:pt idx="3">
                  <c:v>4.2477966796474691</c:v>
                </c:pt>
                <c:pt idx="4">
                  <c:v>3.6875691713565826</c:v>
                </c:pt>
                <c:pt idx="5">
                  <c:v>4.523242701415862</c:v>
                </c:pt>
                <c:pt idx="6">
                  <c:v>4.2315425258334507</c:v>
                </c:pt>
                <c:pt idx="7">
                  <c:v>6.4263760827046656</c:v>
                </c:pt>
                <c:pt idx="8">
                  <c:v>4.8063696963284306</c:v>
                </c:pt>
                <c:pt idx="9">
                  <c:v>5.8916178569670716</c:v>
                </c:pt>
                <c:pt idx="10">
                  <c:v>4.3468699604163614</c:v>
                </c:pt>
                <c:pt idx="11">
                  <c:v>3.6466774716369525</c:v>
                </c:pt>
                <c:pt idx="12">
                  <c:v>3.3862605314322747</c:v>
                </c:pt>
                <c:pt idx="13">
                  <c:v>7.1365997462768487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4-4730-99BC-30083AF2906F}"/>
            </c:ext>
          </c:extLst>
        </c:ser>
        <c:ser>
          <c:idx val="5"/>
          <c:order val="5"/>
          <c:tx>
            <c:strRef>
              <c:f>'Alla arbetslösa 16-64 år'!$R$25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år'!$S$25:$AF$25</c:f>
              <c:numCache>
                <c:formatCode>0.0</c:formatCode>
                <c:ptCount val="14"/>
                <c:pt idx="0">
                  <c:v>5.0964441979417021</c:v>
                </c:pt>
                <c:pt idx="1">
                  <c:v>5.6622305161322002</c:v>
                </c:pt>
                <c:pt idx="2">
                  <c:v>8.9639490234599251</c:v>
                </c:pt>
                <c:pt idx="3">
                  <c:v>4.2281672816728166</c:v>
                </c:pt>
                <c:pt idx="4">
                  <c:v>3.6444591029023745</c:v>
                </c:pt>
                <c:pt idx="5">
                  <c:v>4.4913306872780447</c:v>
                </c:pt>
                <c:pt idx="6">
                  <c:v>4.3299546919519827</c:v>
                </c:pt>
                <c:pt idx="7">
                  <c:v>6.5829846582984661</c:v>
                </c:pt>
                <c:pt idx="8">
                  <c:v>4.851673629104754</c:v>
                </c:pt>
                <c:pt idx="9">
                  <c:v>5.8777197991532937</c:v>
                </c:pt>
                <c:pt idx="10">
                  <c:v>4.3328445747800588</c:v>
                </c:pt>
                <c:pt idx="11">
                  <c:v>3.3987813134732563</c:v>
                </c:pt>
                <c:pt idx="12">
                  <c:v>3.4331983805668016</c:v>
                </c:pt>
                <c:pt idx="13">
                  <c:v>7.0943857326767956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34-4730-99BC-30083AF2906F}"/>
            </c:ext>
          </c:extLst>
        </c:ser>
        <c:ser>
          <c:idx val="6"/>
          <c:order val="6"/>
          <c:tx>
            <c:strRef>
              <c:f>'Alla arbetslösa 16-64 år'!$R$26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år'!$S$26:$AF$26</c:f>
              <c:numCache>
                <c:formatCode>0.0</c:formatCode>
                <c:ptCount val="14"/>
                <c:pt idx="0">
                  <c:v>4.9558723693143243</c:v>
                </c:pt>
                <c:pt idx="1">
                  <c:v>5.6112421383647799</c:v>
                </c:pt>
                <c:pt idx="2">
                  <c:v>9.0031272813054883</c:v>
                </c:pt>
                <c:pt idx="3">
                  <c:v>4.1003797598275691</c:v>
                </c:pt>
                <c:pt idx="4">
                  <c:v>3.6853011821221684</c:v>
                </c:pt>
                <c:pt idx="5">
                  <c:v>4.4554041628354097</c:v>
                </c:pt>
                <c:pt idx="6">
                  <c:v>4.4147843942505132</c:v>
                </c:pt>
                <c:pt idx="7">
                  <c:v>6.5047459519821329</c:v>
                </c:pt>
                <c:pt idx="8">
                  <c:v>4.8768238528230068</c:v>
                </c:pt>
                <c:pt idx="9">
                  <c:v>6.0626903802692347</c:v>
                </c:pt>
                <c:pt idx="10">
                  <c:v>4.4589251720603311</c:v>
                </c:pt>
                <c:pt idx="11">
                  <c:v>3.3333333333333335</c:v>
                </c:pt>
                <c:pt idx="12">
                  <c:v>3.5269373887720432</c:v>
                </c:pt>
                <c:pt idx="13">
                  <c:v>7.1222512865351444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34-4730-99BC-30083AF2906F}"/>
            </c:ext>
          </c:extLst>
        </c:ser>
        <c:ser>
          <c:idx val="7"/>
          <c:order val="7"/>
          <c:tx>
            <c:strRef>
              <c:f>'Alla arbetslösa 16-64 år'!$R$27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år'!$S$27:$AF$27</c:f>
              <c:numCache>
                <c:formatCode>0.0</c:formatCode>
                <c:ptCount val="14"/>
                <c:pt idx="0">
                  <c:v>4.8148834909450526</c:v>
                </c:pt>
                <c:pt idx="1">
                  <c:v>5.2714630898959518</c:v>
                </c:pt>
                <c:pt idx="2">
                  <c:v>8.7844595911663301</c:v>
                </c:pt>
                <c:pt idx="3">
                  <c:v>3.9426339056235222</c:v>
                </c:pt>
                <c:pt idx="4">
                  <c:v>3.5262760637796022</c:v>
                </c:pt>
                <c:pt idx="5">
                  <c:v>4.3754705931565292</c:v>
                </c:pt>
                <c:pt idx="6">
                  <c:v>4.2449742870500229</c:v>
                </c:pt>
                <c:pt idx="7">
                  <c:v>6.49169342454279</c:v>
                </c:pt>
                <c:pt idx="8">
                  <c:v>4.649992051295639</c:v>
                </c:pt>
                <c:pt idx="9">
                  <c:v>5.7431599704214937</c:v>
                </c:pt>
                <c:pt idx="10">
                  <c:v>4.192364170337739</c:v>
                </c:pt>
                <c:pt idx="11">
                  <c:v>3.4249356978475696</c:v>
                </c:pt>
                <c:pt idx="12">
                  <c:v>3.4488341968911915</c:v>
                </c:pt>
                <c:pt idx="13">
                  <c:v>6.9183627367393186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34-4730-99BC-30083AF2906F}"/>
            </c:ext>
          </c:extLst>
        </c:ser>
        <c:ser>
          <c:idx val="8"/>
          <c:order val="8"/>
          <c:tx>
            <c:strRef>
              <c:f>'Alla arbetslösa 16-64 år'!$R$28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år'!$S$28:$AF$28</c:f>
              <c:numCache>
                <c:formatCode>0.0</c:formatCode>
                <c:ptCount val="14"/>
                <c:pt idx="0">
                  <c:v>4.6321525885558579</c:v>
                </c:pt>
                <c:pt idx="1">
                  <c:v>5.1919849965452567</c:v>
                </c:pt>
                <c:pt idx="2">
                  <c:v>8.4421478723028915</c:v>
                </c:pt>
                <c:pt idx="3">
                  <c:v>3.6603598494612566</c:v>
                </c:pt>
                <c:pt idx="4">
                  <c:v>3.4123648042318044</c:v>
                </c:pt>
                <c:pt idx="5">
                  <c:v>4.1670160140856876</c:v>
                </c:pt>
                <c:pt idx="6">
                  <c:v>4.1149758906418237</c:v>
                </c:pt>
                <c:pt idx="7">
                  <c:v>6.1247372109320253</c:v>
                </c:pt>
                <c:pt idx="8">
                  <c:v>4.457601019487071</c:v>
                </c:pt>
                <c:pt idx="9">
                  <c:v>5.4635352286773795</c:v>
                </c:pt>
                <c:pt idx="10">
                  <c:v>4.0796824463393122</c:v>
                </c:pt>
                <c:pt idx="11">
                  <c:v>3.1101453212005978</c:v>
                </c:pt>
                <c:pt idx="12">
                  <c:v>3.2137639993507552</c:v>
                </c:pt>
                <c:pt idx="13">
                  <c:v>6.6419875349676865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34-4730-99BC-30083AF2906F}"/>
            </c:ext>
          </c:extLst>
        </c:ser>
        <c:ser>
          <c:idx val="9"/>
          <c:order val="9"/>
          <c:tx>
            <c:strRef>
              <c:f>'Alla arbetslösa 16-64 år'!$R$29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år'!$S$29:$AF$29</c:f>
              <c:numCache>
                <c:formatCode>0.0</c:formatCode>
                <c:ptCount val="14"/>
                <c:pt idx="0">
                  <c:v>4.5553145336225596</c:v>
                </c:pt>
                <c:pt idx="1">
                  <c:v>5.0842432926527996</c:v>
                </c:pt>
                <c:pt idx="2">
                  <c:v>8.0969613455334546</c:v>
                </c:pt>
                <c:pt idx="3">
                  <c:v>3.6653263223012682</c:v>
                </c:pt>
                <c:pt idx="4">
                  <c:v>3.2593013079779563</c:v>
                </c:pt>
                <c:pt idx="5">
                  <c:v>4.0463398253861653</c:v>
                </c:pt>
                <c:pt idx="6">
                  <c:v>3.9440979224311778</c:v>
                </c:pt>
                <c:pt idx="7">
                  <c:v>6.085249579360628</c:v>
                </c:pt>
                <c:pt idx="8">
                  <c:v>4.3331472472552308</c:v>
                </c:pt>
                <c:pt idx="9">
                  <c:v>5.332475120067337</c:v>
                </c:pt>
                <c:pt idx="10">
                  <c:v>4.0373584350639797</c:v>
                </c:pt>
                <c:pt idx="11">
                  <c:v>2.8859243125510479</c:v>
                </c:pt>
                <c:pt idx="12">
                  <c:v>2.9933300797136813</c:v>
                </c:pt>
                <c:pt idx="13">
                  <c:v>6.3926145909096732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34-4730-99BC-30083AF2906F}"/>
            </c:ext>
          </c:extLst>
        </c:ser>
        <c:ser>
          <c:idx val="10"/>
          <c:order val="10"/>
          <c:tx>
            <c:strRef>
              <c:f>'Alla arbetslösa 16-64 år'!$R$30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år'!$S$30:$AF$30</c:f>
              <c:numCache>
                <c:formatCode>0.0</c:formatCode>
                <c:ptCount val="14"/>
                <c:pt idx="0">
                  <c:v>4.2526734643123598</c:v>
                </c:pt>
                <c:pt idx="1">
                  <c:v>5.0044505983582237</c:v>
                </c:pt>
                <c:pt idx="2">
                  <c:v>7.8298858888336378</c:v>
                </c:pt>
                <c:pt idx="3">
                  <c:v>3.6504253673627223</c:v>
                </c:pt>
                <c:pt idx="4">
                  <c:v>3.1424647153547411</c:v>
                </c:pt>
                <c:pt idx="5">
                  <c:v>3.9092055485498109</c:v>
                </c:pt>
                <c:pt idx="6">
                  <c:v>3.6775771256583898</c:v>
                </c:pt>
                <c:pt idx="7">
                  <c:v>6.1115783571628821</c:v>
                </c:pt>
                <c:pt idx="8">
                  <c:v>4.2491485738612171</c:v>
                </c:pt>
                <c:pt idx="9">
                  <c:v>5.0221052108688093</c:v>
                </c:pt>
                <c:pt idx="10">
                  <c:v>3.966735354724757</c:v>
                </c:pt>
                <c:pt idx="11">
                  <c:v>2.7932960893854748</c:v>
                </c:pt>
                <c:pt idx="12">
                  <c:v>3.0091086532205593</c:v>
                </c:pt>
                <c:pt idx="13">
                  <c:v>6.1815444221040936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34-4730-99BC-30083AF2906F}"/>
            </c:ext>
          </c:extLst>
        </c:ser>
        <c:ser>
          <c:idx val="11"/>
          <c:order val="11"/>
          <c:tx>
            <c:strRef>
              <c:f>'Alla arbetslösa 16-64 år'!$R$31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'Alla arbetslösa 16-64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'Alla arbetslösa 16-64 år'!$S$31:$AF$31</c:f>
              <c:numCache>
                <c:formatCode>0.0</c:formatCode>
                <c:ptCount val="14"/>
                <c:pt idx="0">
                  <c:v>4.2</c:v>
                </c:pt>
                <c:pt idx="1">
                  <c:v>4.9000000000000004</c:v>
                </c:pt>
                <c:pt idx="2">
                  <c:v>7.8</c:v>
                </c:pt>
                <c:pt idx="3">
                  <c:v>3.6</c:v>
                </c:pt>
                <c:pt idx="4">
                  <c:v>3.1</c:v>
                </c:pt>
                <c:pt idx="5">
                  <c:v>3.8</c:v>
                </c:pt>
                <c:pt idx="6">
                  <c:v>3.7</c:v>
                </c:pt>
                <c:pt idx="7">
                  <c:v>6.2</c:v>
                </c:pt>
                <c:pt idx="8">
                  <c:v>4.2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3.2</c:v>
                </c:pt>
                <c:pt idx="13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34-4730-99BC-30083AF29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7024"/>
        <c:axId val="31058560"/>
      </c:barChart>
      <c:catAx>
        <c:axId val="310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05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05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652854311077861E-2"/>
          <c:y val="0.85335217264966445"/>
          <c:w val="0.95812209422470296"/>
          <c:h val="0.12041325307343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rot="0"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latin typeface="Franklin Gothic Medium" panose="020B0603020102020204" pitchFamily="34" charset="0"/>
              </a:defRPr>
            </a:pPr>
            <a:r>
              <a:rPr lang="sv-SE" sz="1000" b="0" i="0" baseline="0">
                <a:effectLst/>
                <a:latin typeface="Franklin Gothic Medium" panose="020B0603020102020204" pitchFamily="34" charset="0"/>
              </a:rPr>
              <a:t>Göteborg arbetslösa och i program (Antal personer)18-24 år</a:t>
            </a:r>
            <a:endParaRPr lang="sv-SE" sz="1000" b="0">
              <a:effectLst/>
              <a:latin typeface="Franklin Gothic Medium" panose="020B06030201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'Ungdomar 18-24 år'!$E$19</c:f>
              <c:strCache>
                <c:ptCount val="1"/>
                <c:pt idx="0">
                  <c:v>Göteborg</c:v>
                </c:pt>
              </c:strCache>
            </c:strRef>
          </c:tx>
          <c:invertIfNegative val="0"/>
          <c:cat>
            <c:strRef>
              <c:f>'Ungdomar 18-24 år'!$B$20:$B$31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'Ungdomar 18-24 år'!$E$20:$E$31</c:f>
              <c:numCache>
                <c:formatCode>General</c:formatCode>
                <c:ptCount val="12"/>
                <c:pt idx="0" formatCode="#,##0">
                  <c:v>3553</c:v>
                </c:pt>
                <c:pt idx="1">
                  <c:v>3549</c:v>
                </c:pt>
                <c:pt idx="2" formatCode="#,##0">
                  <c:v>3404</c:v>
                </c:pt>
                <c:pt idx="3">
                  <c:v>3276</c:v>
                </c:pt>
                <c:pt idx="4" formatCode="#,##0">
                  <c:v>3210</c:v>
                </c:pt>
                <c:pt idx="5">
                  <c:v>3337</c:v>
                </c:pt>
                <c:pt idx="6" formatCode="#,##0">
                  <c:v>3345</c:v>
                </c:pt>
                <c:pt idx="7">
                  <c:v>3242</c:v>
                </c:pt>
                <c:pt idx="8" formatCode="#,##0">
                  <c:v>2981</c:v>
                </c:pt>
                <c:pt idx="9">
                  <c:v>2746</c:v>
                </c:pt>
                <c:pt idx="10" formatCode="#,##0">
                  <c:v>2454</c:v>
                </c:pt>
                <c:pt idx="11">
                  <c:v>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D-4385-A8A3-FC499F509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75328"/>
        <c:axId val="30676864"/>
      </c:barChart>
      <c:catAx>
        <c:axId val="306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Franklin Gothic Medium" panose="020B0603020102020204" pitchFamily="34" charset="0"/>
              </a:defRPr>
            </a:pPr>
            <a:endParaRPr lang="sv-SE"/>
          </a:p>
        </c:txPr>
        <c:crossAx val="30676864"/>
        <c:crosses val="autoZero"/>
        <c:auto val="1"/>
        <c:lblAlgn val="ctr"/>
        <c:lblOffset val="100"/>
        <c:noMultiLvlLbl val="0"/>
      </c:catAx>
      <c:valAx>
        <c:axId val="30676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67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Arbetslösa och i program (Antal personer) 18-24 år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358696514348172E-2"/>
          <c:y val="0.22334579097059529"/>
          <c:w val="0.90642959997953032"/>
          <c:h val="0.50314670344139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'Ungdomar 18-24 år'!$B$20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år'!$C$20:$D$20,'Ungdomar 18-24 år'!$F$20:$O$20)</c:f>
              <c:numCache>
                <c:formatCode>#,##0</c:formatCode>
                <c:ptCount val="12"/>
                <c:pt idx="0" formatCode="General">
                  <c:v>174</c:v>
                </c:pt>
                <c:pt idx="1">
                  <c:v>221</c:v>
                </c:pt>
                <c:pt idx="2">
                  <c:v>129</c:v>
                </c:pt>
                <c:pt idx="3">
                  <c:v>270</c:v>
                </c:pt>
                <c:pt idx="4">
                  <c:v>173</c:v>
                </c:pt>
                <c:pt idx="5">
                  <c:v>150</c:v>
                </c:pt>
                <c:pt idx="6">
                  <c:v>84</c:v>
                </c:pt>
                <c:pt idx="7">
                  <c:v>242</c:v>
                </c:pt>
                <c:pt idx="8">
                  <c:v>163</c:v>
                </c:pt>
                <c:pt idx="9">
                  <c:v>109</c:v>
                </c:pt>
                <c:pt idx="10">
                  <c:v>50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741-9DC5-597DD8FC84F2}"/>
            </c:ext>
          </c:extLst>
        </c:ser>
        <c:ser>
          <c:idx val="1"/>
          <c:order val="1"/>
          <c:tx>
            <c:strRef>
              <c:f>'Ungdomar 18-24 år'!$B$21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år'!$C$21:$D$21,'Ungdomar 18-24 år'!$F$21:$O$21)</c:f>
              <c:numCache>
                <c:formatCode>General</c:formatCode>
                <c:ptCount val="12"/>
                <c:pt idx="0">
                  <c:v>166</c:v>
                </c:pt>
                <c:pt idx="1">
                  <c:v>220</c:v>
                </c:pt>
                <c:pt idx="2">
                  <c:v>118</c:v>
                </c:pt>
                <c:pt idx="3">
                  <c:v>249</c:v>
                </c:pt>
                <c:pt idx="4">
                  <c:v>172</c:v>
                </c:pt>
                <c:pt idx="5">
                  <c:v>155</c:v>
                </c:pt>
                <c:pt idx="6">
                  <c:v>85</c:v>
                </c:pt>
                <c:pt idx="7">
                  <c:v>253</c:v>
                </c:pt>
                <c:pt idx="8">
                  <c:v>160</c:v>
                </c:pt>
                <c:pt idx="9">
                  <c:v>103</c:v>
                </c:pt>
                <c:pt idx="10">
                  <c:v>49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0-4741-9DC5-597DD8FC84F2}"/>
            </c:ext>
          </c:extLst>
        </c:ser>
        <c:ser>
          <c:idx val="2"/>
          <c:order val="2"/>
          <c:tx>
            <c:strRef>
              <c:f>'Ungdomar 18-24 år'!$B$22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år'!$C$22:$D$22,'Ungdomar 18-24 år'!$F$22:$O$22)</c:f>
              <c:numCache>
                <c:formatCode>#,##0</c:formatCode>
                <c:ptCount val="12"/>
                <c:pt idx="0" formatCode="General">
                  <c:v>157</c:v>
                </c:pt>
                <c:pt idx="1">
                  <c:v>201</c:v>
                </c:pt>
                <c:pt idx="2">
                  <c:v>102</c:v>
                </c:pt>
                <c:pt idx="3">
                  <c:v>235</c:v>
                </c:pt>
                <c:pt idx="4">
                  <c:v>181</c:v>
                </c:pt>
                <c:pt idx="5">
                  <c:v>147</c:v>
                </c:pt>
                <c:pt idx="6">
                  <c:v>81</c:v>
                </c:pt>
                <c:pt idx="7">
                  <c:v>225</c:v>
                </c:pt>
                <c:pt idx="8">
                  <c:v>159</c:v>
                </c:pt>
                <c:pt idx="9">
                  <c:v>99</c:v>
                </c:pt>
                <c:pt idx="10">
                  <c:v>49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0-4741-9DC5-597DD8FC84F2}"/>
            </c:ext>
          </c:extLst>
        </c:ser>
        <c:ser>
          <c:idx val="3"/>
          <c:order val="3"/>
          <c:tx>
            <c:strRef>
              <c:f>'Ungdomar 18-24 år'!$B$23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år'!$C$23:$D$23,'Ungdomar 18-24 år'!$F$23:$O$23)</c:f>
              <c:numCache>
                <c:formatCode>General</c:formatCode>
                <c:ptCount val="12"/>
                <c:pt idx="0">
                  <c:v>143</c:v>
                </c:pt>
                <c:pt idx="1">
                  <c:v>187</c:v>
                </c:pt>
                <c:pt idx="2">
                  <c:v>90</c:v>
                </c:pt>
                <c:pt idx="3">
                  <c:v>224</c:v>
                </c:pt>
                <c:pt idx="4">
                  <c:v>172</c:v>
                </c:pt>
                <c:pt idx="5">
                  <c:v>146</c:v>
                </c:pt>
                <c:pt idx="6">
                  <c:v>70</c:v>
                </c:pt>
                <c:pt idx="7">
                  <c:v>216</c:v>
                </c:pt>
                <c:pt idx="8">
                  <c:v>152</c:v>
                </c:pt>
                <c:pt idx="9">
                  <c:v>94</c:v>
                </c:pt>
                <c:pt idx="10">
                  <c:v>44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0-4741-9DC5-597DD8FC84F2}"/>
            </c:ext>
          </c:extLst>
        </c:ser>
        <c:ser>
          <c:idx val="4"/>
          <c:order val="4"/>
          <c:tx>
            <c:strRef>
              <c:f>'Ungdomar 18-24 år'!$B$24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år'!$C$24:$D$24,'Ungdomar 18-24 år'!$F$24:$O$24)</c:f>
              <c:numCache>
                <c:formatCode>#,##0</c:formatCode>
                <c:ptCount val="12"/>
                <c:pt idx="0" formatCode="General">
                  <c:v>137</c:v>
                </c:pt>
                <c:pt idx="1">
                  <c:v>171</c:v>
                </c:pt>
                <c:pt idx="2">
                  <c:v>97</c:v>
                </c:pt>
                <c:pt idx="3">
                  <c:v>208</c:v>
                </c:pt>
                <c:pt idx="4">
                  <c:v>177</c:v>
                </c:pt>
                <c:pt idx="5">
                  <c:v>139</c:v>
                </c:pt>
                <c:pt idx="6">
                  <c:v>74</c:v>
                </c:pt>
                <c:pt idx="7">
                  <c:v>211</c:v>
                </c:pt>
                <c:pt idx="8">
                  <c:v>152</c:v>
                </c:pt>
                <c:pt idx="9">
                  <c:v>90</c:v>
                </c:pt>
                <c:pt idx="10">
                  <c:v>45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B0-4741-9DC5-597DD8FC84F2}"/>
            </c:ext>
          </c:extLst>
        </c:ser>
        <c:ser>
          <c:idx val="5"/>
          <c:order val="5"/>
          <c:tx>
            <c:strRef>
              <c:f>'Ungdomar 18-24 år'!$B$25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år'!$C$25:$D$25,'Ungdomar 18-24 år'!$F$25:$O$25)</c:f>
              <c:numCache>
                <c:formatCode>General</c:formatCode>
                <c:ptCount val="12"/>
                <c:pt idx="0">
                  <c:v>156</c:v>
                </c:pt>
                <c:pt idx="1">
                  <c:v>161</c:v>
                </c:pt>
                <c:pt idx="2">
                  <c:v>109</c:v>
                </c:pt>
                <c:pt idx="3">
                  <c:v>224</c:v>
                </c:pt>
                <c:pt idx="4">
                  <c:v>175</c:v>
                </c:pt>
                <c:pt idx="5">
                  <c:v>143</c:v>
                </c:pt>
                <c:pt idx="6">
                  <c:v>86</c:v>
                </c:pt>
                <c:pt idx="7">
                  <c:v>225</c:v>
                </c:pt>
                <c:pt idx="8">
                  <c:v>163</c:v>
                </c:pt>
                <c:pt idx="9">
                  <c:v>102</c:v>
                </c:pt>
                <c:pt idx="10">
                  <c:v>44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B0-4741-9DC5-597DD8FC84F2}"/>
            </c:ext>
          </c:extLst>
        </c:ser>
        <c:ser>
          <c:idx val="6"/>
          <c:order val="6"/>
          <c:tx>
            <c:strRef>
              <c:f>'Ungdomar 18-24 år'!$B$26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år'!$C$26:$D$26,'Ungdomar 18-24 år'!$F$26:$O$26)</c:f>
              <c:numCache>
                <c:formatCode>#,##0</c:formatCode>
                <c:ptCount val="12"/>
                <c:pt idx="0" formatCode="General">
                  <c:v>147</c:v>
                </c:pt>
                <c:pt idx="1">
                  <c:v>171</c:v>
                </c:pt>
                <c:pt idx="2">
                  <c:v>109</c:v>
                </c:pt>
                <c:pt idx="3">
                  <c:v>221</c:v>
                </c:pt>
                <c:pt idx="4">
                  <c:v>177</c:v>
                </c:pt>
                <c:pt idx="5">
                  <c:v>151</c:v>
                </c:pt>
                <c:pt idx="6">
                  <c:v>89</c:v>
                </c:pt>
                <c:pt idx="7">
                  <c:v>215</c:v>
                </c:pt>
                <c:pt idx="8">
                  <c:v>163</c:v>
                </c:pt>
                <c:pt idx="9">
                  <c:v>95</c:v>
                </c:pt>
                <c:pt idx="10">
                  <c:v>39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B0-4741-9DC5-597DD8FC84F2}"/>
            </c:ext>
          </c:extLst>
        </c:ser>
        <c:ser>
          <c:idx val="7"/>
          <c:order val="7"/>
          <c:tx>
            <c:strRef>
              <c:f>'Ungdomar 18-24 år'!$B$27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år'!$C$27:$D$27,'Ungdomar 18-24 år'!$F$27:$O$27)</c:f>
              <c:numCache>
                <c:formatCode>General</c:formatCode>
                <c:ptCount val="12"/>
                <c:pt idx="0">
                  <c:v>137</c:v>
                </c:pt>
                <c:pt idx="1">
                  <c:v>163</c:v>
                </c:pt>
                <c:pt idx="2">
                  <c:v>103</c:v>
                </c:pt>
                <c:pt idx="3">
                  <c:v>221</c:v>
                </c:pt>
                <c:pt idx="4">
                  <c:v>167</c:v>
                </c:pt>
                <c:pt idx="5">
                  <c:v>148</c:v>
                </c:pt>
                <c:pt idx="6">
                  <c:v>84</c:v>
                </c:pt>
                <c:pt idx="7">
                  <c:v>207</c:v>
                </c:pt>
                <c:pt idx="8">
                  <c:v>154</c:v>
                </c:pt>
                <c:pt idx="9">
                  <c:v>86</c:v>
                </c:pt>
                <c:pt idx="10">
                  <c:v>36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B0-4741-9DC5-597DD8FC84F2}"/>
            </c:ext>
          </c:extLst>
        </c:ser>
        <c:ser>
          <c:idx val="8"/>
          <c:order val="8"/>
          <c:tx>
            <c:strRef>
              <c:f>'Ungdomar 18-24 år'!$B$28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år'!$C$28:$D$28,'Ungdomar 18-24 år'!$F$28:$O$28)</c:f>
              <c:numCache>
                <c:formatCode>#,##0</c:formatCode>
                <c:ptCount val="12"/>
                <c:pt idx="0" formatCode="General">
                  <c:v>119</c:v>
                </c:pt>
                <c:pt idx="1">
                  <c:v>166</c:v>
                </c:pt>
                <c:pt idx="2">
                  <c:v>91</c:v>
                </c:pt>
                <c:pt idx="3">
                  <c:v>211</c:v>
                </c:pt>
                <c:pt idx="4" formatCode="General">
                  <c:v>151</c:v>
                </c:pt>
                <c:pt idx="5">
                  <c:v>134</c:v>
                </c:pt>
                <c:pt idx="6">
                  <c:v>78</c:v>
                </c:pt>
                <c:pt idx="7">
                  <c:v>202</c:v>
                </c:pt>
                <c:pt idx="8">
                  <c:v>140</c:v>
                </c:pt>
                <c:pt idx="9">
                  <c:v>87</c:v>
                </c:pt>
                <c:pt idx="10">
                  <c:v>26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B0-4741-9DC5-597DD8FC84F2}"/>
            </c:ext>
          </c:extLst>
        </c:ser>
        <c:ser>
          <c:idx val="9"/>
          <c:order val="9"/>
          <c:tx>
            <c:strRef>
              <c:f>'Ungdomar 18-24 år'!$B$29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år'!$C$29:$D$29,'Ungdomar 18-24 år'!$F$29:$O$29)</c:f>
              <c:numCache>
                <c:formatCode>General</c:formatCode>
                <c:ptCount val="12"/>
                <c:pt idx="0">
                  <c:v>109</c:v>
                </c:pt>
                <c:pt idx="1">
                  <c:v>163</c:v>
                </c:pt>
                <c:pt idx="2">
                  <c:v>83</c:v>
                </c:pt>
                <c:pt idx="3" formatCode="#,##0">
                  <c:v>181</c:v>
                </c:pt>
                <c:pt idx="4">
                  <c:v>141</c:v>
                </c:pt>
                <c:pt idx="5">
                  <c:v>131</c:v>
                </c:pt>
                <c:pt idx="6">
                  <c:v>67</c:v>
                </c:pt>
                <c:pt idx="7" formatCode="#,##0">
                  <c:v>194</c:v>
                </c:pt>
                <c:pt idx="8">
                  <c:v>135</c:v>
                </c:pt>
                <c:pt idx="9">
                  <c:v>93</c:v>
                </c:pt>
                <c:pt idx="10">
                  <c:v>26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B0-4741-9DC5-597DD8FC84F2}"/>
            </c:ext>
          </c:extLst>
        </c:ser>
        <c:ser>
          <c:idx val="10"/>
          <c:order val="10"/>
          <c:tx>
            <c:strRef>
              <c:f>'Ungdomar 18-24 år'!$B$30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år'!$C$30:$D$30,'Ungdomar 18-24 år'!$F$30:$O$30)</c:f>
              <c:numCache>
                <c:formatCode>#,##0</c:formatCode>
                <c:ptCount val="12"/>
                <c:pt idx="0" formatCode="General">
                  <c:v>94</c:v>
                </c:pt>
                <c:pt idx="1">
                  <c:v>149</c:v>
                </c:pt>
                <c:pt idx="2">
                  <c:v>66</c:v>
                </c:pt>
                <c:pt idx="3">
                  <c:v>161</c:v>
                </c:pt>
                <c:pt idx="4">
                  <c:v>138</c:v>
                </c:pt>
                <c:pt idx="5">
                  <c:v>111</c:v>
                </c:pt>
                <c:pt idx="6">
                  <c:v>64</c:v>
                </c:pt>
                <c:pt idx="7">
                  <c:v>167</c:v>
                </c:pt>
                <c:pt idx="8">
                  <c:v>122</c:v>
                </c:pt>
                <c:pt idx="9">
                  <c:v>87</c:v>
                </c:pt>
                <c:pt idx="10">
                  <c:v>29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B0-4741-9DC5-597DD8FC84F2}"/>
            </c:ext>
          </c:extLst>
        </c:ser>
        <c:ser>
          <c:idx val="11"/>
          <c:order val="11"/>
          <c:tx>
            <c:strRef>
              <c:f>'Ungdomar 18-24 år'!$B$31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('Ungdomar 18-24 år'!$C$19:$D$19,'Ungdomar 18-24 år'!$F$19:$O$19)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f>('Ungdomar 18-24 år'!$C$31:$D$31,'Ungdomar 18-24 år'!$F$31:$O$31)</c:f>
              <c:numCache>
                <c:formatCode>General</c:formatCode>
                <c:ptCount val="12"/>
                <c:pt idx="0">
                  <c:v>90</c:v>
                </c:pt>
                <c:pt idx="1">
                  <c:v>159</c:v>
                </c:pt>
                <c:pt idx="2">
                  <c:v>75</c:v>
                </c:pt>
                <c:pt idx="3">
                  <c:v>158</c:v>
                </c:pt>
                <c:pt idx="4">
                  <c:v>121</c:v>
                </c:pt>
                <c:pt idx="5">
                  <c:v>106</c:v>
                </c:pt>
                <c:pt idx="6">
                  <c:v>57</c:v>
                </c:pt>
                <c:pt idx="7">
                  <c:v>154</c:v>
                </c:pt>
                <c:pt idx="8">
                  <c:v>126</c:v>
                </c:pt>
                <c:pt idx="9">
                  <c:v>83</c:v>
                </c:pt>
                <c:pt idx="10">
                  <c:v>32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B0-4741-9DC5-597DD8FC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0320"/>
        <c:axId val="30766208"/>
      </c:barChart>
      <c:catAx>
        <c:axId val="307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76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6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760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1872212165381898E-2"/>
          <c:y val="0.89342691721425493"/>
          <c:w val="0.94069347970507833"/>
          <c:h val="9.78914214670534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Arbetslösa och i program 18-24 år i %
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32322386215321E-2"/>
          <c:y val="0.21762973068508343"/>
          <c:w val="0.92858197978105639"/>
          <c:h val="0.45704006736039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'Ungdomar 18-24 år'!$R$20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år'!$S$20:$AF$20</c:f>
              <c:numCache>
                <c:formatCode>0.0</c:formatCode>
                <c:ptCount val="14"/>
                <c:pt idx="0">
                  <c:v>10.494571773220748</c:v>
                </c:pt>
                <c:pt idx="1">
                  <c:v>10.045454545454545</c:v>
                </c:pt>
                <c:pt idx="2">
                  <c:v>11.243670886075948</c:v>
                </c:pt>
                <c:pt idx="3">
                  <c:v>7.4782608695652177</c:v>
                </c:pt>
                <c:pt idx="4">
                  <c:v>6.3335679099225901</c:v>
                </c:pt>
                <c:pt idx="5">
                  <c:v>7.0872593199508396</c:v>
                </c:pt>
                <c:pt idx="6">
                  <c:v>7.6883649410558679</c:v>
                </c:pt>
                <c:pt idx="7">
                  <c:v>11.618257261410788</c:v>
                </c:pt>
                <c:pt idx="8">
                  <c:v>6.7863151991026358</c:v>
                </c:pt>
                <c:pt idx="9">
                  <c:v>8.2783138649060444</c:v>
                </c:pt>
                <c:pt idx="10">
                  <c:v>7.6598735066760364</c:v>
                </c:pt>
                <c:pt idx="11">
                  <c:v>7.8369905956112857</c:v>
                </c:pt>
                <c:pt idx="12">
                  <c:v>7.2507552870090644</c:v>
                </c:pt>
                <c:pt idx="13">
                  <c:v>9.7885769532461371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C-459C-ABF2-3F3A2D2E1D66}"/>
            </c:ext>
          </c:extLst>
        </c:ser>
        <c:ser>
          <c:idx val="1"/>
          <c:order val="1"/>
          <c:tx>
            <c:strRef>
              <c:f>'Ungdomar 18-24 år'!$R$21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år'!$S$21:$AF$21</c:f>
              <c:numCache>
                <c:formatCode>0.0</c:formatCode>
                <c:ptCount val="14"/>
                <c:pt idx="0">
                  <c:v>10.060606060606061</c:v>
                </c:pt>
                <c:pt idx="1">
                  <c:v>10.004547521600728</c:v>
                </c:pt>
                <c:pt idx="2">
                  <c:v>11.232434485377896</c:v>
                </c:pt>
                <c:pt idx="3">
                  <c:v>6.8844807467911311</c:v>
                </c:pt>
                <c:pt idx="4">
                  <c:v>5.8698727015558703</c:v>
                </c:pt>
                <c:pt idx="5">
                  <c:v>7.0491803278688518</c:v>
                </c:pt>
                <c:pt idx="6">
                  <c:v>7.9243353783231081</c:v>
                </c:pt>
                <c:pt idx="7">
                  <c:v>11.740331491712707</c:v>
                </c:pt>
                <c:pt idx="8">
                  <c:v>7.1388261851015811</c:v>
                </c:pt>
                <c:pt idx="9">
                  <c:v>8.1383519837232967</c:v>
                </c:pt>
                <c:pt idx="10">
                  <c:v>7.2688779110797466</c:v>
                </c:pt>
                <c:pt idx="11">
                  <c:v>7.6923076923076925</c:v>
                </c:pt>
                <c:pt idx="12">
                  <c:v>6.8285280728376323</c:v>
                </c:pt>
                <c:pt idx="13">
                  <c:v>9.7194077806378587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C-459C-ABF2-3F3A2D2E1D66}"/>
            </c:ext>
          </c:extLst>
        </c:ser>
        <c:ser>
          <c:idx val="2"/>
          <c:order val="2"/>
          <c:tx>
            <c:strRef>
              <c:f>'Ungdomar 18-24 år'!$R$22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år'!$S$22:$AF$22</c:f>
              <c:numCache>
                <c:formatCode>0.0</c:formatCode>
                <c:ptCount val="14"/>
                <c:pt idx="0">
                  <c:v>9.567336989640463</c:v>
                </c:pt>
                <c:pt idx="1">
                  <c:v>9.2201834862385326</c:v>
                </c:pt>
                <c:pt idx="2">
                  <c:v>10.823185272328384</c:v>
                </c:pt>
                <c:pt idx="3">
                  <c:v>6.0070671378091873</c:v>
                </c:pt>
                <c:pt idx="4">
                  <c:v>5.5581835383159888</c:v>
                </c:pt>
                <c:pt idx="5">
                  <c:v>7.3907717435688038</c:v>
                </c:pt>
                <c:pt idx="6">
                  <c:v>7.5462012320328533</c:v>
                </c:pt>
                <c:pt idx="7">
                  <c:v>11.25</c:v>
                </c:pt>
                <c:pt idx="8">
                  <c:v>6.3398140321217236</c:v>
                </c:pt>
                <c:pt idx="9">
                  <c:v>8.0916030534351151</c:v>
                </c:pt>
                <c:pt idx="10">
                  <c:v>7.0063694267515926</c:v>
                </c:pt>
                <c:pt idx="11">
                  <c:v>7.6923076923076925</c:v>
                </c:pt>
                <c:pt idx="12">
                  <c:v>6.1162079510703364</c:v>
                </c:pt>
                <c:pt idx="13">
                  <c:v>9.3154603634496542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C-459C-ABF2-3F3A2D2E1D66}"/>
            </c:ext>
          </c:extLst>
        </c:ser>
        <c:ser>
          <c:idx val="3"/>
          <c:order val="3"/>
          <c:tx>
            <c:strRef>
              <c:f>'Ungdomar 18-24 år'!$R$23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år'!$S$23:$AF$23</c:f>
              <c:numCache>
                <c:formatCode>0.0</c:formatCode>
                <c:ptCount val="14"/>
                <c:pt idx="0">
                  <c:v>8.7891825445605409</c:v>
                </c:pt>
                <c:pt idx="1">
                  <c:v>8.6334256694367486</c:v>
                </c:pt>
                <c:pt idx="2">
                  <c:v>10.458768317210994</c:v>
                </c:pt>
                <c:pt idx="3">
                  <c:v>5.3380782918149468</c:v>
                </c:pt>
                <c:pt idx="4">
                  <c:v>5.3118330566753613</c:v>
                </c:pt>
                <c:pt idx="5">
                  <c:v>7.0491803278688518</c:v>
                </c:pt>
                <c:pt idx="6">
                  <c:v>7.4987159732922439</c:v>
                </c:pt>
                <c:pt idx="7">
                  <c:v>9.873060648801129</c:v>
                </c:pt>
                <c:pt idx="8">
                  <c:v>6.1016949152542379</c:v>
                </c:pt>
                <c:pt idx="9">
                  <c:v>7.7630234933605724</c:v>
                </c:pt>
                <c:pt idx="10">
                  <c:v>6.6761363636363633</c:v>
                </c:pt>
                <c:pt idx="11">
                  <c:v>6.962025316455696</c:v>
                </c:pt>
                <c:pt idx="12">
                  <c:v>5.9724349157733538</c:v>
                </c:pt>
                <c:pt idx="13">
                  <c:v>8.9363974514786566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8C-459C-ABF2-3F3A2D2E1D66}"/>
            </c:ext>
          </c:extLst>
        </c:ser>
        <c:ser>
          <c:idx val="4"/>
          <c:order val="4"/>
          <c:tx>
            <c:strRef>
              <c:f>'Ungdomar 18-24 år'!$R$24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år'!$S$24:$AF$24</c:f>
              <c:numCache>
                <c:formatCode>0.0</c:formatCode>
                <c:ptCount val="14"/>
                <c:pt idx="0">
                  <c:v>8.4515731030228256</c:v>
                </c:pt>
                <c:pt idx="1">
                  <c:v>7.9534883720930232</c:v>
                </c:pt>
                <c:pt idx="2">
                  <c:v>10.269699587292447</c:v>
                </c:pt>
                <c:pt idx="3">
                  <c:v>5.7294743059657414</c:v>
                </c:pt>
                <c:pt idx="4">
                  <c:v>4.9512020947393482</c:v>
                </c:pt>
                <c:pt idx="5">
                  <c:v>7.2392638036809815</c:v>
                </c:pt>
                <c:pt idx="6">
                  <c:v>7.1649484536082468</c:v>
                </c:pt>
                <c:pt idx="7">
                  <c:v>10.37868162692847</c:v>
                </c:pt>
                <c:pt idx="8">
                  <c:v>5.9688826025459694</c:v>
                </c:pt>
                <c:pt idx="9">
                  <c:v>7.7630234933605724</c:v>
                </c:pt>
                <c:pt idx="10">
                  <c:v>6.4102564102564097</c:v>
                </c:pt>
                <c:pt idx="11">
                  <c:v>7.109004739336493</c:v>
                </c:pt>
                <c:pt idx="12">
                  <c:v>6.2595419847328246</c:v>
                </c:pt>
                <c:pt idx="13">
                  <c:v>8.7667189373674006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8C-459C-ABF2-3F3A2D2E1D66}"/>
            </c:ext>
          </c:extLst>
        </c:ser>
        <c:ser>
          <c:idx val="5"/>
          <c:order val="5"/>
          <c:tx>
            <c:strRef>
              <c:f>'Ungdomar 18-24 år'!$R$25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år'!$S$25:$AF$25</c:f>
              <c:numCache>
                <c:formatCode>0.0</c:formatCode>
                <c:ptCount val="14"/>
                <c:pt idx="0">
                  <c:v>9.5121951219512191</c:v>
                </c:pt>
                <c:pt idx="1">
                  <c:v>7.5233644859813085</c:v>
                </c:pt>
                <c:pt idx="2">
                  <c:v>10.632806525618149</c:v>
                </c:pt>
                <c:pt idx="3">
                  <c:v>6.3929618768328451</c:v>
                </c:pt>
                <c:pt idx="4">
                  <c:v>5.3118330566753613</c:v>
                </c:pt>
                <c:pt idx="5">
                  <c:v>7.1633237822349569</c:v>
                </c:pt>
                <c:pt idx="6">
                  <c:v>7.3559670781893001</c:v>
                </c:pt>
                <c:pt idx="7">
                  <c:v>11.862068965517242</c:v>
                </c:pt>
                <c:pt idx="8">
                  <c:v>6.3398140321217236</c:v>
                </c:pt>
                <c:pt idx="9">
                  <c:v>8.2783138649060444</c:v>
                </c:pt>
                <c:pt idx="10">
                  <c:v>7.2033898305084749</c:v>
                </c:pt>
                <c:pt idx="11">
                  <c:v>6.962025316455696</c:v>
                </c:pt>
                <c:pt idx="12">
                  <c:v>6.2595419847328246</c:v>
                </c:pt>
                <c:pt idx="13">
                  <c:v>9.1254892592660646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8C-459C-ABF2-3F3A2D2E1D66}"/>
            </c:ext>
          </c:extLst>
        </c:ser>
        <c:ser>
          <c:idx val="6"/>
          <c:order val="6"/>
          <c:tx>
            <c:strRef>
              <c:f>'Ungdomar 18-24 år'!$R$26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år'!$S$26:$AF$26</c:f>
              <c:numCache>
                <c:formatCode>0.0</c:formatCode>
                <c:ptCount val="14"/>
                <c:pt idx="0">
                  <c:v>9.0128755364806867</c:v>
                </c:pt>
                <c:pt idx="1">
                  <c:v>7.9534883720930232</c:v>
                </c:pt>
                <c:pt idx="2">
                  <c:v>10.655581039755353</c:v>
                </c:pt>
                <c:pt idx="3">
                  <c:v>6.3929618768328451</c:v>
                </c:pt>
                <c:pt idx="4">
                  <c:v>5.2444233507356426</c:v>
                </c:pt>
                <c:pt idx="5">
                  <c:v>7.2392638036809815</c:v>
                </c:pt>
                <c:pt idx="6">
                  <c:v>7.735655737704918</c:v>
                </c:pt>
                <c:pt idx="7">
                  <c:v>12.225274725274724</c:v>
                </c:pt>
                <c:pt idx="8">
                  <c:v>6.0751624752755014</c:v>
                </c:pt>
                <c:pt idx="9">
                  <c:v>8.2783138649060444</c:v>
                </c:pt>
                <c:pt idx="10">
                  <c:v>6.7423704755145488</c:v>
                </c:pt>
                <c:pt idx="11">
                  <c:v>6.2200956937799043</c:v>
                </c:pt>
                <c:pt idx="12">
                  <c:v>6.4024390243902438</c:v>
                </c:pt>
                <c:pt idx="13">
                  <c:v>9.1221493283348956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8C-459C-ABF2-3F3A2D2E1D66}"/>
            </c:ext>
          </c:extLst>
        </c:ser>
        <c:ser>
          <c:idx val="7"/>
          <c:order val="7"/>
          <c:tx>
            <c:strRef>
              <c:f>'Ungdomar 18-24 år'!$R$27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år'!$S$27:$AF$27</c:f>
              <c:numCache>
                <c:formatCode>0.0</c:formatCode>
                <c:ptCount val="14"/>
                <c:pt idx="0">
                  <c:v>8.4515731030228256</c:v>
                </c:pt>
                <c:pt idx="1">
                  <c:v>7.6097105508870211</c:v>
                </c:pt>
                <c:pt idx="2">
                  <c:v>10.361468886829236</c:v>
                </c:pt>
                <c:pt idx="3">
                  <c:v>6.0623896409652742</c:v>
                </c:pt>
                <c:pt idx="4">
                  <c:v>5.2444233507356426</c:v>
                </c:pt>
                <c:pt idx="5">
                  <c:v>6.8583162217659144</c:v>
                </c:pt>
                <c:pt idx="6">
                  <c:v>7.5936377629553613</c:v>
                </c:pt>
                <c:pt idx="7">
                  <c:v>11.618257261410788</c:v>
                </c:pt>
                <c:pt idx="8">
                  <c:v>5.8623619371282922</c:v>
                </c:pt>
                <c:pt idx="9">
                  <c:v>7.8571428571428568</c:v>
                </c:pt>
                <c:pt idx="10">
                  <c:v>6.1428571428571432</c:v>
                </c:pt>
                <c:pt idx="11">
                  <c:v>5.7692307692307692</c:v>
                </c:pt>
                <c:pt idx="12">
                  <c:v>6.9696969696969706</c:v>
                </c:pt>
                <c:pt idx="13">
                  <c:v>8.8373550611093705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8C-459C-ABF2-3F3A2D2E1D66}"/>
            </c:ext>
          </c:extLst>
        </c:ser>
        <c:ser>
          <c:idx val="8"/>
          <c:order val="8"/>
          <c:tx>
            <c:strRef>
              <c:f>'Ungdomar 18-24 år'!$R$28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år'!$S$28:$AF$28</c:f>
              <c:numCache>
                <c:formatCode>0.0</c:formatCode>
                <c:ptCount val="14"/>
                <c:pt idx="0">
                  <c:v>7.4235807860262017</c:v>
                </c:pt>
                <c:pt idx="1">
                  <c:v>7.7389277389277398</c:v>
                </c:pt>
                <c:pt idx="2">
                  <c:v>9.607451334278716</c:v>
                </c:pt>
                <c:pt idx="3">
                  <c:v>5.394190871369295</c:v>
                </c:pt>
                <c:pt idx="4">
                  <c:v>5.0190294957183639</c:v>
                </c:pt>
                <c:pt idx="5">
                  <c:v>6.2422488631665978</c:v>
                </c:pt>
                <c:pt idx="6">
                  <c:v>6.9250645994832034</c:v>
                </c:pt>
                <c:pt idx="7">
                  <c:v>10.87866108786611</c:v>
                </c:pt>
                <c:pt idx="8">
                  <c:v>5.7288712422007944</c:v>
                </c:pt>
                <c:pt idx="9">
                  <c:v>7.1942446043165464</c:v>
                </c:pt>
                <c:pt idx="10">
                  <c:v>6.209850107066381</c:v>
                </c:pt>
                <c:pt idx="11">
                  <c:v>4.234527687296417</c:v>
                </c:pt>
                <c:pt idx="12">
                  <c:v>5.8282208588957047</c:v>
                </c:pt>
                <c:pt idx="13">
                  <c:v>8.211296100376785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8C-459C-ABF2-3F3A2D2E1D66}"/>
            </c:ext>
          </c:extLst>
        </c:ser>
        <c:ser>
          <c:idx val="9"/>
          <c:order val="9"/>
          <c:tx>
            <c:strRef>
              <c:f>'Ungdomar 18-24 år'!$R$29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år'!$S$29:$AF$29</c:f>
              <c:numCache>
                <c:formatCode>0.0</c:formatCode>
                <c:ptCount val="14"/>
                <c:pt idx="0">
                  <c:v>6.8424356559949784</c:v>
                </c:pt>
                <c:pt idx="1">
                  <c:v>7.6097105508870211</c:v>
                </c:pt>
                <c:pt idx="2">
                  <c:v>8.9176111453901861</c:v>
                </c:pt>
                <c:pt idx="3">
                  <c:v>4.9434187016080999</c:v>
                </c:pt>
                <c:pt idx="4">
                  <c:v>4.3363679923334928</c:v>
                </c:pt>
                <c:pt idx="5">
                  <c:v>5.85305105853051</c:v>
                </c:pt>
                <c:pt idx="6">
                  <c:v>6.7805383022774324</c:v>
                </c:pt>
                <c:pt idx="7">
                  <c:v>9.4900849858356935</c:v>
                </c:pt>
                <c:pt idx="8">
                  <c:v>5.5144968732234227</c:v>
                </c:pt>
                <c:pt idx="9">
                  <c:v>6.9551777434312205</c:v>
                </c:pt>
                <c:pt idx="10">
                  <c:v>6.6381156316916492</c:v>
                </c:pt>
                <c:pt idx="11">
                  <c:v>4.234527687296417</c:v>
                </c:pt>
                <c:pt idx="12">
                  <c:v>4.658385093167702</c:v>
                </c:pt>
                <c:pt idx="13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8C-459C-ABF2-3F3A2D2E1D66}"/>
            </c:ext>
          </c:extLst>
        </c:ser>
        <c:ser>
          <c:idx val="10"/>
          <c:order val="10"/>
          <c:tx>
            <c:strRef>
              <c:f>'Ungdomar 18-24 år'!$R$30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år'!$S$30:$AF$30</c:f>
              <c:numCache>
                <c:formatCode>0.0</c:formatCode>
                <c:ptCount val="14"/>
                <c:pt idx="0">
                  <c:v>5.9569074778200255</c:v>
                </c:pt>
                <c:pt idx="1">
                  <c:v>7.0018796992481205</c:v>
                </c:pt>
                <c:pt idx="2">
                  <c:v>8.0456378479394122</c:v>
                </c:pt>
                <c:pt idx="3">
                  <c:v>3.9711191335740073</c:v>
                </c:pt>
                <c:pt idx="4">
                  <c:v>3.8757823784304284</c:v>
                </c:pt>
                <c:pt idx="5">
                  <c:v>5.7356608478802995</c:v>
                </c:pt>
                <c:pt idx="6">
                  <c:v>5.8054393305439334</c:v>
                </c:pt>
                <c:pt idx="7">
                  <c:v>9.1038406827880518</c:v>
                </c:pt>
                <c:pt idx="8">
                  <c:v>4.7837295903752501</c:v>
                </c:pt>
                <c:pt idx="9">
                  <c:v>6.3278008298755184</c:v>
                </c:pt>
                <c:pt idx="10">
                  <c:v>6.209850107066381</c:v>
                </c:pt>
                <c:pt idx="11">
                  <c:v>4.7001620745542949</c:v>
                </c:pt>
                <c:pt idx="12">
                  <c:v>4.5886075949367093</c:v>
                </c:pt>
                <c:pt idx="13">
                  <c:v>6.9102477223100669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8C-459C-ABF2-3F3A2D2E1D66}"/>
            </c:ext>
          </c:extLst>
        </c:ser>
        <c:ser>
          <c:idx val="11"/>
          <c:order val="11"/>
          <c:tx>
            <c:strRef>
              <c:f>'Ungdomar 18-24 år'!$R$31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'Ungdomar 18-24 år'!$S$31:$AF$31</c:f>
              <c:numCache>
                <c:formatCode>0.0</c:formatCode>
                <c:ptCount val="14"/>
                <c:pt idx="0">
                  <c:v>5.7</c:v>
                </c:pt>
                <c:pt idx="1">
                  <c:v>7.4</c:v>
                </c:pt>
                <c:pt idx="2">
                  <c:v>7.7</c:v>
                </c:pt>
                <c:pt idx="3">
                  <c:v>4.5</c:v>
                </c:pt>
                <c:pt idx="4">
                  <c:v>3.8</c:v>
                </c:pt>
                <c:pt idx="5">
                  <c:v>5.0999999999999996</c:v>
                </c:pt>
                <c:pt idx="6">
                  <c:v>5.6</c:v>
                </c:pt>
                <c:pt idx="7">
                  <c:v>8.1999999999999993</c:v>
                </c:pt>
                <c:pt idx="8">
                  <c:v>4.4000000000000004</c:v>
                </c:pt>
                <c:pt idx="9">
                  <c:v>6.5</c:v>
                </c:pt>
                <c:pt idx="10">
                  <c:v>5.9</c:v>
                </c:pt>
                <c:pt idx="11">
                  <c:v>5.0999999999999996</c:v>
                </c:pt>
                <c:pt idx="12">
                  <c:v>5.2</c:v>
                </c:pt>
                <c:pt idx="13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8C-459C-ABF2-3F3A2D2E1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3856"/>
        <c:axId val="31376128"/>
      </c:barChart>
      <c:catAx>
        <c:axId val="313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37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7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35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632061842436587E-2"/>
          <c:y val="0.93480802896667958"/>
          <c:w val="0.9019089672350078"/>
          <c:h val="5.265812182736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latin typeface="Franklin Gothic Medium" panose="020B0603020102020204" pitchFamily="34" charset="0"/>
              </a:defRPr>
            </a:pPr>
            <a:r>
              <a:rPr lang="sv-SE" sz="900" b="0" i="0" baseline="0">
                <a:effectLst/>
                <a:latin typeface="Franklin Gothic Medium" panose="020B0603020102020204" pitchFamily="34" charset="0"/>
              </a:rPr>
              <a:t>Göteborg utrikesfödda arbetslösa och i program (Antal personer) 16-64 år</a:t>
            </a:r>
            <a:endParaRPr lang="sv-SE" sz="900" b="0">
              <a:effectLst/>
              <a:latin typeface="Franklin Gothic Medium" panose="020B0603020102020204" pitchFamily="34" charset="0"/>
            </a:endParaRPr>
          </a:p>
        </c:rich>
      </c:tx>
      <c:layout>
        <c:manualLayout>
          <c:xMode val="edge"/>
          <c:yMode val="edge"/>
          <c:x val="0.11114776699883512"/>
          <c:y val="1.90476190476190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Utrikesfödda!$E$19</c:f>
              <c:strCache>
                <c:ptCount val="1"/>
                <c:pt idx="0">
                  <c:v>Göteborg</c:v>
                </c:pt>
              </c:strCache>
            </c:strRef>
          </c:tx>
          <c:invertIfNegative val="0"/>
          <c:cat>
            <c:strRef>
              <c:f>Utrikesfödda!$B$20:$B$31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Utrikesfödda!$E$20:$E$31</c:f>
              <c:numCache>
                <c:formatCode>_-* #\ ##0\ _k_r_-;\-* #\ ##0\ _k_r_-;_-* "-"??\ _k_r_-;_-@_-</c:formatCode>
                <c:ptCount val="12"/>
                <c:pt idx="0">
                  <c:v>19349</c:v>
                </c:pt>
                <c:pt idx="1">
                  <c:v>19249</c:v>
                </c:pt>
                <c:pt idx="2">
                  <c:v>18810</c:v>
                </c:pt>
                <c:pt idx="3" formatCode="General">
                  <c:v>18443</c:v>
                </c:pt>
                <c:pt idx="4" formatCode="General">
                  <c:v>18011</c:v>
                </c:pt>
                <c:pt idx="5" formatCode="General">
                  <c:v>17751</c:v>
                </c:pt>
                <c:pt idx="6" formatCode="General">
                  <c:v>17807</c:v>
                </c:pt>
                <c:pt idx="7" formatCode="General">
                  <c:v>17553</c:v>
                </c:pt>
                <c:pt idx="8" formatCode="General">
                  <c:v>17083</c:v>
                </c:pt>
                <c:pt idx="9" formatCode="General">
                  <c:v>16423</c:v>
                </c:pt>
                <c:pt idx="10" formatCode="General">
                  <c:v>15931</c:v>
                </c:pt>
                <c:pt idx="11" formatCode="General">
                  <c:v>15771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6-416C-8B46-932C39C9B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75328"/>
        <c:axId val="30676864"/>
      </c:barChart>
      <c:catAx>
        <c:axId val="306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Franklin Gothic Medium" panose="020B0603020102020204" pitchFamily="34" charset="0"/>
              </a:defRPr>
            </a:pPr>
            <a:endParaRPr lang="sv-SE"/>
          </a:p>
        </c:txPr>
        <c:crossAx val="30676864"/>
        <c:crosses val="autoZero"/>
        <c:auto val="1"/>
        <c:lblAlgn val="ctr"/>
        <c:lblOffset val="100"/>
        <c:noMultiLvlLbl val="0"/>
      </c:catAx>
      <c:valAx>
        <c:axId val="30676864"/>
        <c:scaling>
          <c:orientation val="minMax"/>
          <c:max val="20000"/>
        </c:scaling>
        <c:delete val="0"/>
        <c:axPos val="l"/>
        <c:majorGridlines/>
        <c:numFmt formatCode="_-* #\ ##0\ _k_r_-;\-* #\ ##0\ _k_r_-;_-* &quot;-&quot;??\ _k_r_-;_-@_-" sourceLinked="1"/>
        <c:majorTickMark val="out"/>
        <c:minorTickMark val="none"/>
        <c:tickLblPos val="nextTo"/>
        <c:crossAx val="3067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Utrikesfödda</a:t>
            </a:r>
            <a:r>
              <a:rPr lang="sv-SE" sz="1800" b="0" baseline="0">
                <a:latin typeface="Franklin Gothic Medium" panose="020B0603020102020204" pitchFamily="34" charset="0"/>
              </a:rPr>
              <a:t> a</a:t>
            </a:r>
            <a:r>
              <a:rPr lang="sv-SE" sz="1800" b="0">
                <a:latin typeface="Franklin Gothic Medium" panose="020B0603020102020204" pitchFamily="34" charset="0"/>
              </a:rPr>
              <a:t>rbetslösa och i program (Antal personer) 16-64 år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358696514348172E-2"/>
          <c:y val="0.22334579097059529"/>
          <c:w val="0.90642959997953032"/>
          <c:h val="0.50314670344139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'Ungdomar 18-24 år'!$B$20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Utrikesfödda!$C$20:$O$20</c15:sqref>
                  </c15:fullRef>
                </c:ext>
              </c:extLst>
              <c:f>(Utrikesfödda!$C$20:$D$20,Utrikesfödda!$F$20:$O$20)</c:f>
              <c:numCache>
                <c:formatCode>#,##0</c:formatCode>
                <c:ptCount val="12"/>
                <c:pt idx="0" formatCode="General">
                  <c:v>447</c:v>
                </c:pt>
                <c:pt idx="1">
                  <c:v>505</c:v>
                </c:pt>
                <c:pt idx="2">
                  <c:v>396</c:v>
                </c:pt>
                <c:pt idx="3">
                  <c:v>583</c:v>
                </c:pt>
                <c:pt idx="4">
                  <c:v>453</c:v>
                </c:pt>
                <c:pt idx="5">
                  <c:v>392</c:v>
                </c:pt>
                <c:pt idx="6">
                  <c:v>198</c:v>
                </c:pt>
                <c:pt idx="7">
                  <c:v>1003</c:v>
                </c:pt>
                <c:pt idx="8">
                  <c:v>664</c:v>
                </c:pt>
                <c:pt idx="9">
                  <c:v>259</c:v>
                </c:pt>
                <c:pt idx="10">
                  <c:v>81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2-4B19-97E4-1F47CD0B6D1E}"/>
            </c:ext>
          </c:extLst>
        </c:ser>
        <c:ser>
          <c:idx val="1"/>
          <c:order val="1"/>
          <c:tx>
            <c:strRef>
              <c:f>'Ungdomar 18-24 år'!$B$21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Utrikesfödda!$C$21:$O$21</c15:sqref>
                  </c15:fullRef>
                </c:ext>
              </c:extLst>
              <c:f>(Utrikesfödda!$C$21:$D$21,Utrikesfödda!$F$21:$O$21)</c:f>
              <c:numCache>
                <c:formatCode>General</c:formatCode>
                <c:ptCount val="12"/>
                <c:pt idx="0">
                  <c:v>438</c:v>
                </c:pt>
                <c:pt idx="1">
                  <c:v>494</c:v>
                </c:pt>
                <c:pt idx="2">
                  <c:v>387</c:v>
                </c:pt>
                <c:pt idx="3">
                  <c:v>572</c:v>
                </c:pt>
                <c:pt idx="4">
                  <c:v>452</c:v>
                </c:pt>
                <c:pt idx="5">
                  <c:v>386</c:v>
                </c:pt>
                <c:pt idx="6">
                  <c:v>204</c:v>
                </c:pt>
                <c:pt idx="7">
                  <c:v>1016</c:v>
                </c:pt>
                <c:pt idx="8">
                  <c:v>668</c:v>
                </c:pt>
                <c:pt idx="9">
                  <c:v>252</c:v>
                </c:pt>
                <c:pt idx="10">
                  <c:v>74</c:v>
                </c:pt>
                <c:pt idx="1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2-4B19-97E4-1F47CD0B6D1E}"/>
            </c:ext>
          </c:extLst>
        </c:ser>
        <c:ser>
          <c:idx val="2"/>
          <c:order val="2"/>
          <c:tx>
            <c:strRef>
              <c:f>'Ungdomar 18-24 år'!$B$22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Utrikesfödda!$C$22:$O$22</c15:sqref>
                  </c15:fullRef>
                </c:ext>
              </c:extLst>
              <c:f>(Utrikesfödda!$C$22:$D$22,Utrikesfödda!$F$22:$O$22)</c:f>
              <c:numCache>
                <c:formatCode>#,##0</c:formatCode>
                <c:ptCount val="12"/>
                <c:pt idx="0" formatCode="General">
                  <c:v>431</c:v>
                </c:pt>
                <c:pt idx="1">
                  <c:v>468</c:v>
                </c:pt>
                <c:pt idx="2">
                  <c:v>369</c:v>
                </c:pt>
                <c:pt idx="3">
                  <c:v>553</c:v>
                </c:pt>
                <c:pt idx="4">
                  <c:v>447</c:v>
                </c:pt>
                <c:pt idx="5">
                  <c:v>371</c:v>
                </c:pt>
                <c:pt idx="6">
                  <c:v>195</c:v>
                </c:pt>
                <c:pt idx="7">
                  <c:v>977</c:v>
                </c:pt>
                <c:pt idx="8">
                  <c:v>654</c:v>
                </c:pt>
                <c:pt idx="9">
                  <c:v>254</c:v>
                </c:pt>
                <c:pt idx="10">
                  <c:v>74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2-4B19-97E4-1F47CD0B6D1E}"/>
            </c:ext>
          </c:extLst>
        </c:ser>
        <c:ser>
          <c:idx val="3"/>
          <c:order val="3"/>
          <c:tx>
            <c:strRef>
              <c:f>'Ungdomar 18-24 år'!$B$23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Utrikesfödda!$C$23:$O$23</c15:sqref>
                  </c15:fullRef>
                </c:ext>
              </c:extLst>
              <c:f>(Utrikesfödda!$C$23:$D$23,Utrikesfödda!$F$23:$O$23)</c:f>
              <c:numCache>
                <c:formatCode>General</c:formatCode>
                <c:ptCount val="12"/>
                <c:pt idx="0">
                  <c:v>401</c:v>
                </c:pt>
                <c:pt idx="1">
                  <c:v>457</c:v>
                </c:pt>
                <c:pt idx="2">
                  <c:v>354</c:v>
                </c:pt>
                <c:pt idx="3">
                  <c:v>560</c:v>
                </c:pt>
                <c:pt idx="4">
                  <c:v>439</c:v>
                </c:pt>
                <c:pt idx="5">
                  <c:v>366</c:v>
                </c:pt>
                <c:pt idx="6">
                  <c:v>186</c:v>
                </c:pt>
                <c:pt idx="7">
                  <c:v>957</c:v>
                </c:pt>
                <c:pt idx="8">
                  <c:v>656</c:v>
                </c:pt>
                <c:pt idx="9">
                  <c:v>250</c:v>
                </c:pt>
                <c:pt idx="10">
                  <c:v>72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2-4B19-97E4-1F47CD0B6D1E}"/>
            </c:ext>
          </c:extLst>
        </c:ser>
        <c:ser>
          <c:idx val="4"/>
          <c:order val="4"/>
          <c:tx>
            <c:strRef>
              <c:f>'Ungdomar 18-24 år'!$B$24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Utrikesfödda!$C$24:$O$24</c15:sqref>
                  </c15:fullRef>
                </c:ext>
              </c:extLst>
              <c:f>(Utrikesfödda!$C$24:$D$24,Utrikesfödda!$F$24:$O$24)</c:f>
              <c:numCache>
                <c:formatCode>#,##0</c:formatCode>
                <c:ptCount val="12"/>
                <c:pt idx="0" formatCode="General">
                  <c:v>398</c:v>
                </c:pt>
                <c:pt idx="1">
                  <c:v>451</c:v>
                </c:pt>
                <c:pt idx="2">
                  <c:v>334</c:v>
                </c:pt>
                <c:pt idx="3">
                  <c:v>549</c:v>
                </c:pt>
                <c:pt idx="4">
                  <c:v>438</c:v>
                </c:pt>
                <c:pt idx="5">
                  <c:v>361</c:v>
                </c:pt>
                <c:pt idx="6">
                  <c:v>185</c:v>
                </c:pt>
                <c:pt idx="7">
                  <c:v>909</c:v>
                </c:pt>
                <c:pt idx="8">
                  <c:v>651</c:v>
                </c:pt>
                <c:pt idx="9">
                  <c:v>239</c:v>
                </c:pt>
                <c:pt idx="10">
                  <c:v>70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C2-4B19-97E4-1F47CD0B6D1E}"/>
            </c:ext>
          </c:extLst>
        </c:ser>
        <c:ser>
          <c:idx val="5"/>
          <c:order val="5"/>
          <c:tx>
            <c:strRef>
              <c:f>'Ungdomar 18-24 år'!$B$25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Utrikesfödda!$C$25:$O$25</c15:sqref>
                  </c15:fullRef>
                </c:ext>
              </c:extLst>
              <c:f>(Utrikesfödda!$C$25:$D$25,Utrikesfödda!$F$25:$O$25)</c:f>
              <c:numCache>
                <c:formatCode>General</c:formatCode>
                <c:ptCount val="12"/>
                <c:pt idx="0">
                  <c:v>399</c:v>
                </c:pt>
                <c:pt idx="1">
                  <c:v>461</c:v>
                </c:pt>
                <c:pt idx="2">
                  <c:v>339</c:v>
                </c:pt>
                <c:pt idx="3">
                  <c:v>545</c:v>
                </c:pt>
                <c:pt idx="4">
                  <c:v>440</c:v>
                </c:pt>
                <c:pt idx="5">
                  <c:v>367</c:v>
                </c:pt>
                <c:pt idx="6">
                  <c:v>189</c:v>
                </c:pt>
                <c:pt idx="7">
                  <c:v>906</c:v>
                </c:pt>
                <c:pt idx="8">
                  <c:v>650</c:v>
                </c:pt>
                <c:pt idx="9">
                  <c:v>237</c:v>
                </c:pt>
                <c:pt idx="10">
                  <c:v>65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C2-4B19-97E4-1F47CD0B6D1E}"/>
            </c:ext>
          </c:extLst>
        </c:ser>
        <c:ser>
          <c:idx val="6"/>
          <c:order val="6"/>
          <c:tx>
            <c:strRef>
              <c:f>'Ungdomar 18-24 år'!$B$26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Utrikesfödda!$C$26:$O$26</c15:sqref>
                  </c15:fullRef>
                </c:ext>
              </c:extLst>
              <c:f>(Utrikesfödda!$C$26:$D$26,Utrikesfödda!$F$26:$O$26)</c:f>
              <c:numCache>
                <c:formatCode>#,##0</c:formatCode>
                <c:ptCount val="12"/>
                <c:pt idx="0" formatCode="General">
                  <c:v>392</c:v>
                </c:pt>
                <c:pt idx="1">
                  <c:v>445</c:v>
                </c:pt>
                <c:pt idx="2">
                  <c:v>319</c:v>
                </c:pt>
                <c:pt idx="3">
                  <c:v>538</c:v>
                </c:pt>
                <c:pt idx="4">
                  <c:v>434</c:v>
                </c:pt>
                <c:pt idx="5">
                  <c:v>370</c:v>
                </c:pt>
                <c:pt idx="6">
                  <c:v>193</c:v>
                </c:pt>
                <c:pt idx="7">
                  <c:v>895</c:v>
                </c:pt>
                <c:pt idx="8">
                  <c:v>667</c:v>
                </c:pt>
                <c:pt idx="9">
                  <c:v>245</c:v>
                </c:pt>
                <c:pt idx="10">
                  <c:v>58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C2-4B19-97E4-1F47CD0B6D1E}"/>
            </c:ext>
          </c:extLst>
        </c:ser>
        <c:ser>
          <c:idx val="7"/>
          <c:order val="7"/>
          <c:tx>
            <c:strRef>
              <c:f>'Ungdomar 18-24 år'!$B$27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Utrikesfödda!$C$27:$O$27</c15:sqref>
                  </c15:fullRef>
                </c:ext>
              </c:extLst>
              <c:f>(Utrikesfödda!$C$27:$D$27,Utrikesfödda!$F$27:$O$27)</c:f>
              <c:numCache>
                <c:formatCode>General</c:formatCode>
                <c:ptCount val="12"/>
                <c:pt idx="0">
                  <c:v>381</c:v>
                </c:pt>
                <c:pt idx="1">
                  <c:v>429</c:v>
                </c:pt>
                <c:pt idx="2">
                  <c:v>307</c:v>
                </c:pt>
                <c:pt idx="3">
                  <c:v>512</c:v>
                </c:pt>
                <c:pt idx="4">
                  <c:v>439</c:v>
                </c:pt>
                <c:pt idx="5">
                  <c:v>364</c:v>
                </c:pt>
                <c:pt idx="6">
                  <c:v>182</c:v>
                </c:pt>
                <c:pt idx="7" formatCode="_-* #\ ##0\ _k_r_-;\-* #\ ##0\ _k_r_-;_-* &quot;-&quot;??\ _k_r_-;_-@_-">
                  <c:v>881</c:v>
                </c:pt>
                <c:pt idx="8">
                  <c:v>637</c:v>
                </c:pt>
                <c:pt idx="9">
                  <c:v>233</c:v>
                </c:pt>
                <c:pt idx="10">
                  <c:v>70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C2-4B19-97E4-1F47CD0B6D1E}"/>
            </c:ext>
          </c:extLst>
        </c:ser>
        <c:ser>
          <c:idx val="8"/>
          <c:order val="8"/>
          <c:tx>
            <c:strRef>
              <c:f>'Ungdomar 18-24 år'!$B$28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Utrikesfödda!$C$28:$O$28</c15:sqref>
                  </c15:fullRef>
                </c:ext>
              </c:extLst>
              <c:f>(Utrikesfödda!$C$28:$D$28,Utrikesfödda!$F$28:$O$28)</c:f>
              <c:numCache>
                <c:formatCode>#,##0</c:formatCode>
                <c:ptCount val="12"/>
                <c:pt idx="0" formatCode="General">
                  <c:v>368</c:v>
                </c:pt>
                <c:pt idx="1">
                  <c:v>415</c:v>
                </c:pt>
                <c:pt idx="2">
                  <c:v>286</c:v>
                </c:pt>
                <c:pt idx="3">
                  <c:v>513</c:v>
                </c:pt>
                <c:pt idx="4" formatCode="General">
                  <c:v>420</c:v>
                </c:pt>
                <c:pt idx="5">
                  <c:v>351</c:v>
                </c:pt>
                <c:pt idx="6">
                  <c:v>167</c:v>
                </c:pt>
                <c:pt idx="7">
                  <c:v>854</c:v>
                </c:pt>
                <c:pt idx="8">
                  <c:v>607</c:v>
                </c:pt>
                <c:pt idx="9">
                  <c:v>227</c:v>
                </c:pt>
                <c:pt idx="10">
                  <c:v>61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C2-4B19-97E4-1F47CD0B6D1E}"/>
            </c:ext>
          </c:extLst>
        </c:ser>
        <c:ser>
          <c:idx val="9"/>
          <c:order val="9"/>
          <c:tx>
            <c:strRef>
              <c:f>'Ungdomar 18-24 år'!$B$29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Utrikesfödda!$C$29:$O$29</c15:sqref>
                  </c15:fullRef>
                </c:ext>
              </c:extLst>
              <c:f>(Utrikesfödda!$C$29:$D$29,Utrikesfödda!$F$29:$O$29)</c:f>
              <c:numCache>
                <c:formatCode>General</c:formatCode>
                <c:ptCount val="12"/>
                <c:pt idx="0">
                  <c:v>366</c:v>
                </c:pt>
                <c:pt idx="1">
                  <c:v>414</c:v>
                </c:pt>
                <c:pt idx="2">
                  <c:v>286</c:v>
                </c:pt>
                <c:pt idx="3" formatCode="#,##0">
                  <c:v>517</c:v>
                </c:pt>
                <c:pt idx="4">
                  <c:v>415</c:v>
                </c:pt>
                <c:pt idx="5">
                  <c:v>338</c:v>
                </c:pt>
                <c:pt idx="6">
                  <c:v>160</c:v>
                </c:pt>
                <c:pt idx="7" formatCode="#,##0">
                  <c:v>826</c:v>
                </c:pt>
                <c:pt idx="8">
                  <c:v>604</c:v>
                </c:pt>
                <c:pt idx="9">
                  <c:v>225</c:v>
                </c:pt>
                <c:pt idx="10">
                  <c:v>59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C2-4B19-97E4-1F47CD0B6D1E}"/>
            </c:ext>
          </c:extLst>
        </c:ser>
        <c:ser>
          <c:idx val="10"/>
          <c:order val="10"/>
          <c:tx>
            <c:strRef>
              <c:f>'Ungdomar 18-24 år'!$B$30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Utrikesfödda!$C$30:$O$30</c15:sqref>
                  </c15:fullRef>
                </c:ext>
              </c:extLst>
              <c:f>(Utrikesfödda!$C$30:$D$30,Utrikesfödda!$F$30:$O$30)</c:f>
              <c:numCache>
                <c:formatCode>#,##0</c:formatCode>
                <c:ptCount val="12"/>
                <c:pt idx="0" formatCode="General">
                  <c:v>348</c:v>
                </c:pt>
                <c:pt idx="1">
                  <c:v>404</c:v>
                </c:pt>
                <c:pt idx="2">
                  <c:v>293</c:v>
                </c:pt>
                <c:pt idx="3">
                  <c:v>500</c:v>
                </c:pt>
                <c:pt idx="4">
                  <c:v>392</c:v>
                </c:pt>
                <c:pt idx="5">
                  <c:v>314</c:v>
                </c:pt>
                <c:pt idx="6">
                  <c:v>168</c:v>
                </c:pt>
                <c:pt idx="7">
                  <c:v>837</c:v>
                </c:pt>
                <c:pt idx="8">
                  <c:v>578</c:v>
                </c:pt>
                <c:pt idx="9">
                  <c:v>224</c:v>
                </c:pt>
                <c:pt idx="10">
                  <c:v>61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C2-4B19-97E4-1F47CD0B6D1E}"/>
            </c:ext>
          </c:extLst>
        </c:ser>
        <c:ser>
          <c:idx val="11"/>
          <c:order val="11"/>
          <c:tx>
            <c:strRef>
              <c:f>'Ungdomar 18-24 år'!$B$31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'Ungdomar 18-24 år'!$C$4:$O$4</c15:sqref>
                  </c15:fullRef>
                </c:ext>
              </c:extLst>
              <c:f>('Ungdomar 18-24 år'!$C$4:$D$4,'Ungdomar 18-24 år'!$F$4:$O$4)</c:f>
              <c:strCache>
                <c:ptCount val="12"/>
                <c:pt idx="0">
                  <c:v>Ale</c:v>
                </c:pt>
                <c:pt idx="1">
                  <c:v>Alingsås</c:v>
                </c:pt>
                <c:pt idx="2">
                  <c:v>Härryda</c:v>
                </c:pt>
                <c:pt idx="3">
                  <c:v>Kungsbacka</c:v>
                </c:pt>
                <c:pt idx="4">
                  <c:v>Kungälv</c:v>
                </c:pt>
                <c:pt idx="5">
                  <c:v>Lerum</c:v>
                </c:pt>
                <c:pt idx="6">
                  <c:v>Lilla Edet</c:v>
                </c:pt>
                <c:pt idx="7">
                  <c:v>Mölndal</c:v>
                </c:pt>
                <c:pt idx="8">
                  <c:v>Partille</c:v>
                </c:pt>
                <c:pt idx="9">
                  <c:v>Stenungsund</c:v>
                </c:pt>
                <c:pt idx="10">
                  <c:v>Tjörn</c:v>
                </c:pt>
                <c:pt idx="11">
                  <c:v>Öckerö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Utrikesfödda!$C$31:$O$31</c15:sqref>
                  </c15:fullRef>
                </c:ext>
              </c:extLst>
              <c:f>(Utrikesfödda!$C$31:$D$31,Utrikesfödda!$F$31:$O$31)</c:f>
              <c:numCache>
                <c:formatCode>General</c:formatCode>
                <c:ptCount val="12"/>
                <c:pt idx="0">
                  <c:v>343</c:v>
                </c:pt>
                <c:pt idx="1">
                  <c:v>394</c:v>
                </c:pt>
                <c:pt idx="2">
                  <c:v>286</c:v>
                </c:pt>
                <c:pt idx="3" formatCode="#,##0">
                  <c:v>501</c:v>
                </c:pt>
                <c:pt idx="4">
                  <c:v>397</c:v>
                </c:pt>
                <c:pt idx="5">
                  <c:v>321</c:v>
                </c:pt>
                <c:pt idx="6">
                  <c:v>173</c:v>
                </c:pt>
                <c:pt idx="7" formatCode="#,##0">
                  <c:v>832</c:v>
                </c:pt>
                <c:pt idx="8">
                  <c:v>571</c:v>
                </c:pt>
                <c:pt idx="9">
                  <c:v>232</c:v>
                </c:pt>
                <c:pt idx="10">
                  <c:v>65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C2-4B19-97E4-1F47CD0B6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0320"/>
        <c:axId val="30766208"/>
      </c:barChart>
      <c:catAx>
        <c:axId val="307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76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6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760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1872212165381898E-2"/>
          <c:y val="0.89342691721425493"/>
          <c:w val="0.94069347970507833"/>
          <c:h val="9.78914214670534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Arial"/>
                <a:cs typeface="Arial"/>
              </a:defRPr>
            </a:pPr>
            <a:r>
              <a:rPr lang="sv-SE" sz="1800" b="0">
                <a:latin typeface="Franklin Gothic Medium" panose="020B0603020102020204" pitchFamily="34" charset="0"/>
              </a:rPr>
              <a:t>Utrikesfödda</a:t>
            </a:r>
            <a:r>
              <a:rPr lang="sv-SE" sz="1800" b="0" baseline="0">
                <a:latin typeface="Franklin Gothic Medium" panose="020B0603020102020204" pitchFamily="34" charset="0"/>
              </a:rPr>
              <a:t> a</a:t>
            </a:r>
            <a:r>
              <a:rPr lang="sv-SE" sz="1800" b="0">
                <a:latin typeface="Franklin Gothic Medium" panose="020B0603020102020204" pitchFamily="34" charset="0"/>
              </a:rPr>
              <a:t>rbetslösa och i program 16-64 år i %
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32322386215321E-2"/>
          <c:y val="0.21762973068508343"/>
          <c:w val="0.92858197978105639"/>
          <c:h val="0.45704006736039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Utrikesfödda!$R$20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Utrikesfödda!$S$20:$AF$20</c:f>
              <c:numCache>
                <c:formatCode>0.0</c:formatCode>
                <c:ptCount val="14"/>
                <c:pt idx="0">
                  <c:v>12.997964524571096</c:v>
                </c:pt>
                <c:pt idx="1">
                  <c:v>17.066576546130449</c:v>
                </c:pt>
                <c:pt idx="2">
                  <c:v>19.131285965710219</c:v>
                </c:pt>
                <c:pt idx="3">
                  <c:v>14.14790996784566</c:v>
                </c:pt>
                <c:pt idx="4">
                  <c:v>13.526682134570766</c:v>
                </c:pt>
                <c:pt idx="5">
                  <c:v>15.09496834388537</c:v>
                </c:pt>
                <c:pt idx="6">
                  <c:v>13.611111111111111</c:v>
                </c:pt>
                <c:pt idx="7">
                  <c:v>14.358230601885424</c:v>
                </c:pt>
                <c:pt idx="8">
                  <c:v>12.323381250767907</c:v>
                </c:pt>
                <c:pt idx="9">
                  <c:v>14.026193493874104</c:v>
                </c:pt>
                <c:pt idx="10">
                  <c:v>14.526079641054404</c:v>
                </c:pt>
                <c:pt idx="11">
                  <c:v>10.615989515072084</c:v>
                </c:pt>
                <c:pt idx="12">
                  <c:v>14.035087719298245</c:v>
                </c:pt>
                <c:pt idx="13">
                  <c:v>17.705037015532007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8-46F4-B64E-BF092973593C}"/>
            </c:ext>
          </c:extLst>
        </c:ser>
        <c:ser>
          <c:idx val="1"/>
          <c:order val="1"/>
          <c:tx>
            <c:strRef>
              <c:f>Utrikesfödda!$R$21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Utrikesfödda!$S$21:$AF$21</c:f>
              <c:numCache>
                <c:formatCode>0.0</c:formatCode>
                <c:ptCount val="14"/>
                <c:pt idx="0">
                  <c:v>12.769679300291545</c:v>
                </c:pt>
                <c:pt idx="1">
                  <c:v>16.757123473541384</c:v>
                </c:pt>
                <c:pt idx="2">
                  <c:v>19.051248045289888</c:v>
                </c:pt>
                <c:pt idx="3">
                  <c:v>13.870967741935484</c:v>
                </c:pt>
                <c:pt idx="4">
                  <c:v>13.305419865084902</c:v>
                </c:pt>
                <c:pt idx="5">
                  <c:v>15.066666666666666</c:v>
                </c:pt>
                <c:pt idx="6">
                  <c:v>13.430758524704245</c:v>
                </c:pt>
                <c:pt idx="7">
                  <c:v>14.729241877256319</c:v>
                </c:pt>
                <c:pt idx="8">
                  <c:v>12.463199214916584</c:v>
                </c:pt>
                <c:pt idx="9">
                  <c:v>14.098775854791052</c:v>
                </c:pt>
                <c:pt idx="10">
                  <c:v>14.189189189189189</c:v>
                </c:pt>
                <c:pt idx="11">
                  <c:v>9.7883597883597879</c:v>
                </c:pt>
                <c:pt idx="12">
                  <c:v>13.846153846153847</c:v>
                </c:pt>
                <c:pt idx="13">
                  <c:v>17.621929512281952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8-46F4-B64E-BF092973593C}"/>
            </c:ext>
          </c:extLst>
        </c:ser>
        <c:ser>
          <c:idx val="2"/>
          <c:order val="2"/>
          <c:tx>
            <c:strRef>
              <c:f>Utrikesfödda!$R$22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Utrikesfödda!$S$22:$AF$22</c:f>
              <c:numCache>
                <c:formatCode>0.0</c:formatCode>
                <c:ptCount val="14"/>
                <c:pt idx="0">
                  <c:v>12.591294186386213</c:v>
                </c:pt>
                <c:pt idx="1">
                  <c:v>16.016427104722791</c:v>
                </c:pt>
                <c:pt idx="2">
                  <c:v>18.697998986073419</c:v>
                </c:pt>
                <c:pt idx="3">
                  <c:v>13.311688311688311</c:v>
                </c:pt>
                <c:pt idx="4">
                  <c:v>12.920560747663551</c:v>
                </c:pt>
                <c:pt idx="5">
                  <c:v>14.924874791318866</c:v>
                </c:pt>
                <c:pt idx="6">
                  <c:v>12.97656523259881</c:v>
                </c:pt>
                <c:pt idx="7">
                  <c:v>14.171511627906977</c:v>
                </c:pt>
                <c:pt idx="8">
                  <c:v>12.042401084678911</c:v>
                </c:pt>
                <c:pt idx="9">
                  <c:v>13.84419983065199</c:v>
                </c:pt>
                <c:pt idx="10">
                  <c:v>14.285714285714285</c:v>
                </c:pt>
                <c:pt idx="11">
                  <c:v>9.7883597883597879</c:v>
                </c:pt>
                <c:pt idx="12">
                  <c:v>13.274336283185843</c:v>
                </c:pt>
                <c:pt idx="13">
                  <c:v>17.266087311837371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D8-46F4-B64E-BF092973593C}"/>
            </c:ext>
          </c:extLst>
        </c:ser>
        <c:ser>
          <c:idx val="3"/>
          <c:order val="3"/>
          <c:tx>
            <c:strRef>
              <c:f>Utrikesfödda!$R$23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Utrikesfödda!$S$23:$AF$23</c:f>
              <c:numCache>
                <c:formatCode>0.0</c:formatCode>
                <c:ptCount val="14"/>
                <c:pt idx="0">
                  <c:v>11.818449749484232</c:v>
                </c:pt>
                <c:pt idx="1">
                  <c:v>15.699072483682583</c:v>
                </c:pt>
                <c:pt idx="2">
                  <c:v>18.400311277835421</c:v>
                </c:pt>
                <c:pt idx="3">
                  <c:v>12.840043525571273</c:v>
                </c:pt>
                <c:pt idx="4">
                  <c:v>13.062747842313973</c:v>
                </c:pt>
                <c:pt idx="5">
                  <c:v>14.697020421827922</c:v>
                </c:pt>
                <c:pt idx="6">
                  <c:v>12.824106517168884</c:v>
                </c:pt>
                <c:pt idx="7">
                  <c:v>13.606437454279444</c:v>
                </c:pt>
                <c:pt idx="8">
                  <c:v>11.825033979982701</c:v>
                </c:pt>
                <c:pt idx="9">
                  <c:v>13.880660177740161</c:v>
                </c:pt>
                <c:pt idx="10">
                  <c:v>14.092446448703495</c:v>
                </c:pt>
                <c:pt idx="11">
                  <c:v>9.549071618037134</c:v>
                </c:pt>
                <c:pt idx="12">
                  <c:v>12.888888888888889</c:v>
                </c:pt>
                <c:pt idx="13">
                  <c:v>16.985027638466889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D8-46F4-B64E-BF092973593C}"/>
            </c:ext>
          </c:extLst>
        </c:ser>
        <c:ser>
          <c:idx val="4"/>
          <c:order val="4"/>
          <c:tx>
            <c:strRef>
              <c:f>Utrikesfödda!$R$24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Utrikesfödda!$S$24:$AF$24</c:f>
              <c:numCache>
                <c:formatCode>0.0</c:formatCode>
                <c:ptCount val="14"/>
                <c:pt idx="0">
                  <c:v>11.740412979351031</c:v>
                </c:pt>
                <c:pt idx="1">
                  <c:v>15.524956970740103</c:v>
                </c:pt>
                <c:pt idx="2">
                  <c:v>18.047094188376754</c:v>
                </c:pt>
                <c:pt idx="3">
                  <c:v>12.203142126415784</c:v>
                </c:pt>
                <c:pt idx="4">
                  <c:v>12.839101964452759</c:v>
                </c:pt>
                <c:pt idx="5">
                  <c:v>14.668452779638313</c:v>
                </c:pt>
                <c:pt idx="6">
                  <c:v>12.671112671112672</c:v>
                </c:pt>
                <c:pt idx="7">
                  <c:v>13.543191800878477</c:v>
                </c:pt>
                <c:pt idx="8">
                  <c:v>11.29894344313238</c:v>
                </c:pt>
                <c:pt idx="9">
                  <c:v>13.78945138741792</c:v>
                </c:pt>
                <c:pt idx="10">
                  <c:v>13.556437889960296</c:v>
                </c:pt>
                <c:pt idx="11">
                  <c:v>9.3085106382978715</c:v>
                </c:pt>
                <c:pt idx="12">
                  <c:v>12.888888888888889</c:v>
                </c:pt>
                <c:pt idx="13">
                  <c:v>16.652455160246987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D8-46F4-B64E-BF092973593C}"/>
            </c:ext>
          </c:extLst>
        </c:ser>
        <c:ser>
          <c:idx val="5"/>
          <c:order val="5"/>
          <c:tx>
            <c:strRef>
              <c:f>Utrikesfödda!$R$25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Utrikesfödda!$S$25:$AF$25</c:f>
              <c:numCache>
                <c:formatCode>0.0</c:formatCode>
                <c:ptCount val="14"/>
                <c:pt idx="0">
                  <c:v>11.766440578000589</c:v>
                </c:pt>
                <c:pt idx="1">
                  <c:v>15.814751286449399</c:v>
                </c:pt>
                <c:pt idx="2">
                  <c:v>17.833031946955998</c:v>
                </c:pt>
                <c:pt idx="3">
                  <c:v>12.363238512035011</c:v>
                </c:pt>
                <c:pt idx="4">
                  <c:v>12.757490636704119</c:v>
                </c:pt>
                <c:pt idx="5">
                  <c:v>14.725568942436412</c:v>
                </c:pt>
                <c:pt idx="6">
                  <c:v>12.854640980735551</c:v>
                </c:pt>
                <c:pt idx="7">
                  <c:v>13.795620437956204</c:v>
                </c:pt>
                <c:pt idx="8">
                  <c:v>11.265854265108182</c:v>
                </c:pt>
                <c:pt idx="9">
                  <c:v>13.771186440677965</c:v>
                </c:pt>
                <c:pt idx="10">
                  <c:v>13.458262350936966</c:v>
                </c:pt>
                <c:pt idx="11">
                  <c:v>8.7014725568942435</c:v>
                </c:pt>
                <c:pt idx="12">
                  <c:v>14.223194748358861</c:v>
                </c:pt>
                <c:pt idx="13">
                  <c:v>16.505154639175256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D8-46F4-B64E-BF092973593C}"/>
            </c:ext>
          </c:extLst>
        </c:ser>
        <c:ser>
          <c:idx val="6"/>
          <c:order val="6"/>
          <c:tx>
            <c:strRef>
              <c:f>Utrikesfödda!$R$26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Utrikesfödda!$S$26:$AF$26</c:f>
              <c:numCache>
                <c:formatCode>0.0</c:formatCode>
                <c:ptCount val="14"/>
                <c:pt idx="0">
                  <c:v>11.583924349881796</c:v>
                </c:pt>
                <c:pt idx="1">
                  <c:v>15.350120731286651</c:v>
                </c:pt>
                <c:pt idx="2">
                  <c:v>17.879232097674606</c:v>
                </c:pt>
                <c:pt idx="3">
                  <c:v>11.719324026451138</c:v>
                </c:pt>
                <c:pt idx="4">
                  <c:v>12.614302461899179</c:v>
                </c:pt>
                <c:pt idx="5">
                  <c:v>14.553990610328638</c:v>
                </c:pt>
                <c:pt idx="6">
                  <c:v>12.946116165150453</c:v>
                </c:pt>
                <c:pt idx="7">
                  <c:v>14.046579330422126</c:v>
                </c:pt>
                <c:pt idx="8">
                  <c:v>11.144315776366581</c:v>
                </c:pt>
                <c:pt idx="9">
                  <c:v>14.080641756385898</c:v>
                </c:pt>
                <c:pt idx="10">
                  <c:v>13.849632560768796</c:v>
                </c:pt>
                <c:pt idx="11">
                  <c:v>7.8378378378378386</c:v>
                </c:pt>
                <c:pt idx="12">
                  <c:v>14.410480349344979</c:v>
                </c:pt>
                <c:pt idx="13">
                  <c:v>16.514376173471266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D8-46F4-B64E-BF092973593C}"/>
            </c:ext>
          </c:extLst>
        </c:ser>
        <c:ser>
          <c:idx val="7"/>
          <c:order val="7"/>
          <c:tx>
            <c:strRef>
              <c:f>Utrikesfödda!$R$27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Utrikesfödda!$S$27:$AF$27</c:f>
              <c:numCache>
                <c:formatCode>0.0</c:formatCode>
                <c:ptCount val="14"/>
                <c:pt idx="0">
                  <c:v>11.295582567447376</c:v>
                </c:pt>
                <c:pt idx="1">
                  <c:v>14.880332986472425</c:v>
                </c:pt>
                <c:pt idx="2">
                  <c:v>17.669263755511263</c:v>
                </c:pt>
                <c:pt idx="3">
                  <c:v>11.328413284132841</c:v>
                </c:pt>
                <c:pt idx="4">
                  <c:v>12.078320358575136</c:v>
                </c:pt>
                <c:pt idx="5">
                  <c:v>14.697020421827922</c:v>
                </c:pt>
                <c:pt idx="6">
                  <c:v>12.76297335203366</c:v>
                </c:pt>
                <c:pt idx="7">
                  <c:v>13.352898019075568</c:v>
                </c:pt>
                <c:pt idx="8">
                  <c:v>10.98914806037171</c:v>
                </c:pt>
                <c:pt idx="9">
                  <c:v>13.533035903972806</c:v>
                </c:pt>
                <c:pt idx="10">
                  <c:v>13.261240751280592</c:v>
                </c:pt>
                <c:pt idx="11">
                  <c:v>9.3085106382978715</c:v>
                </c:pt>
                <c:pt idx="12">
                  <c:v>14.596949891067537</c:v>
                </c:pt>
                <c:pt idx="13">
                  <c:v>16.283843149415613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D8-46F4-B64E-BF092973593C}"/>
            </c:ext>
          </c:extLst>
        </c:ser>
        <c:ser>
          <c:idx val="8"/>
          <c:order val="8"/>
          <c:tx>
            <c:strRef>
              <c:f>Utrikesfödda!$R$28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Utrikesfödda!$S$28:$AF$28</c:f>
              <c:numCache>
                <c:formatCode>0.0</c:formatCode>
                <c:ptCount val="14"/>
                <c:pt idx="0">
                  <c:v>10.952380952380953</c:v>
                </c:pt>
                <c:pt idx="1">
                  <c:v>14.46497037295225</c:v>
                </c:pt>
                <c:pt idx="2">
                  <c:v>17.277894651670849</c:v>
                </c:pt>
                <c:pt idx="3">
                  <c:v>10.635924135366308</c:v>
                </c:pt>
                <c:pt idx="4">
                  <c:v>12.099056603773585</c:v>
                </c:pt>
                <c:pt idx="5">
                  <c:v>14.150943396226415</c:v>
                </c:pt>
                <c:pt idx="6">
                  <c:v>12.363508277562522</c:v>
                </c:pt>
                <c:pt idx="7">
                  <c:v>12.388724035608309</c:v>
                </c:pt>
                <c:pt idx="8">
                  <c:v>10.688360450563204</c:v>
                </c:pt>
                <c:pt idx="9">
                  <c:v>12.978404960444728</c:v>
                </c:pt>
                <c:pt idx="10">
                  <c:v>12.964020559680185</c:v>
                </c:pt>
                <c:pt idx="11">
                  <c:v>8.2099596231493948</c:v>
                </c:pt>
                <c:pt idx="12">
                  <c:v>12.888888888888889</c:v>
                </c:pt>
                <c:pt idx="13">
                  <c:v>15.883260630879253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D8-46F4-B64E-BF092973593C}"/>
            </c:ext>
          </c:extLst>
        </c:ser>
        <c:ser>
          <c:idx val="9"/>
          <c:order val="9"/>
          <c:tx>
            <c:strRef>
              <c:f>Utrikesfödda!$R$29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Utrikesfödda!$S$29:$AF$29</c:f>
              <c:numCache>
                <c:formatCode>0.0</c:formatCode>
                <c:ptCount val="14"/>
                <c:pt idx="0">
                  <c:v>10.899344848123883</c:v>
                </c:pt>
                <c:pt idx="1">
                  <c:v>14.435146443514643</c:v>
                </c:pt>
                <c:pt idx="2">
                  <c:v>16.721989166293323</c:v>
                </c:pt>
                <c:pt idx="3">
                  <c:v>10.635924135366308</c:v>
                </c:pt>
                <c:pt idx="4">
                  <c:v>12.181903864278983</c:v>
                </c:pt>
                <c:pt idx="5">
                  <c:v>14.00607492406345</c:v>
                </c:pt>
                <c:pt idx="6">
                  <c:v>11.960368011323427</c:v>
                </c:pt>
                <c:pt idx="7">
                  <c:v>11.931394481730052</c:v>
                </c:pt>
                <c:pt idx="8">
                  <c:v>10.374277819643305</c:v>
                </c:pt>
                <c:pt idx="9">
                  <c:v>12.922550278134359</c:v>
                </c:pt>
                <c:pt idx="10">
                  <c:v>12.864493996569468</c:v>
                </c:pt>
                <c:pt idx="11">
                  <c:v>7.9622132253711202</c:v>
                </c:pt>
                <c:pt idx="12">
                  <c:v>11.910112359550562</c:v>
                </c:pt>
                <c:pt idx="13">
                  <c:v>15.429023211408795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D8-46F4-B64E-BF092973593C}"/>
            </c:ext>
          </c:extLst>
        </c:ser>
        <c:ser>
          <c:idx val="10"/>
          <c:order val="10"/>
          <c:tx>
            <c:strRef>
              <c:f>Utrikesfödda!$R$30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Utrikesfödda!$S$30:$AF$30</c:f>
              <c:numCache>
                <c:formatCode>0.0</c:formatCode>
                <c:ptCount val="14"/>
                <c:pt idx="0">
                  <c:v>10.419161676646707</c:v>
                </c:pt>
                <c:pt idx="1">
                  <c:v>14.135759272218335</c:v>
                </c:pt>
                <c:pt idx="2">
                  <c:v>16.302701596397874</c:v>
                </c:pt>
                <c:pt idx="3">
                  <c:v>9.965986394557822</c:v>
                </c:pt>
                <c:pt idx="4">
                  <c:v>11.828720132481665</c:v>
                </c:pt>
                <c:pt idx="5">
                  <c:v>13.333333333333334</c:v>
                </c:pt>
                <c:pt idx="6">
                  <c:v>11.206281227694504</c:v>
                </c:pt>
                <c:pt idx="7">
                  <c:v>12.45366938472943</c:v>
                </c:pt>
                <c:pt idx="8">
                  <c:v>10.497930515489779</c:v>
                </c:pt>
                <c:pt idx="9">
                  <c:v>12.435456110154904</c:v>
                </c:pt>
                <c:pt idx="10">
                  <c:v>12.814645308924485</c:v>
                </c:pt>
                <c:pt idx="11">
                  <c:v>8.2099596231493948</c:v>
                </c:pt>
                <c:pt idx="12">
                  <c:v>13.082039911308204</c:v>
                </c:pt>
                <c:pt idx="13">
                  <c:v>15.063485523802388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D8-46F4-B64E-BF092973593C}"/>
            </c:ext>
          </c:extLst>
        </c:ser>
        <c:ser>
          <c:idx val="11"/>
          <c:order val="11"/>
          <c:tx>
            <c:strRef>
              <c:f>Utrikesfödda!$R$31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'Ungdomar 18-24 år'!$S$19:$AF$19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Stenungsund</c:v>
                </c:pt>
                <c:pt idx="11">
                  <c:v>Tjörn</c:v>
                </c:pt>
                <c:pt idx="12">
                  <c:v>Öckerö</c:v>
                </c:pt>
                <c:pt idx="13">
                  <c:v>GR</c:v>
                </c:pt>
              </c:strCache>
            </c:strRef>
          </c:cat>
          <c:val>
            <c:numRef>
              <c:f>Utrikesfödda!$S$31:$AF$31</c:f>
              <c:numCache>
                <c:formatCode>0.0</c:formatCode>
                <c:ptCount val="14"/>
                <c:pt idx="0">
                  <c:v>10.284857571214392</c:v>
                </c:pt>
                <c:pt idx="1">
                  <c:v>13.834269662921347</c:v>
                </c:pt>
                <c:pt idx="2">
                  <c:v>16.165436654366545</c:v>
                </c:pt>
                <c:pt idx="3">
                  <c:v>10.635924135366308</c:v>
                </c:pt>
                <c:pt idx="4">
                  <c:v>11.849574266792811</c:v>
                </c:pt>
                <c:pt idx="5">
                  <c:v>13.480475382003396</c:v>
                </c:pt>
                <c:pt idx="6">
                  <c:v>11.42755428978284</c:v>
                </c:pt>
                <c:pt idx="7">
                  <c:v>12.776957163958642</c:v>
                </c:pt>
                <c:pt idx="8">
                  <c:v>10.441767068273093</c:v>
                </c:pt>
                <c:pt idx="9">
                  <c:v>12.303382891618185</c:v>
                </c:pt>
                <c:pt idx="10">
                  <c:v>13.211845102505695</c:v>
                </c:pt>
                <c:pt idx="11">
                  <c:v>8.7014725568942435</c:v>
                </c:pt>
                <c:pt idx="12">
                  <c:v>12.694877505567929</c:v>
                </c:pt>
                <c:pt idx="13">
                  <c:v>14.957736126424109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D8-46F4-B64E-BF0929735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3856"/>
        <c:axId val="31376128"/>
      </c:barChart>
      <c:catAx>
        <c:axId val="313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37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7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35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632061842436587E-2"/>
          <c:y val="0.93480802896667958"/>
          <c:w val="0.9019089672350078"/>
          <c:h val="5.265812182736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41685C-37FD-414D-84B7-F6045BB4B45B}">
  <sheetPr/>
  <sheetViews>
    <sheetView zoomScale="8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E713983-78FB-4417-9169-1628D3D2EED4}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</xdr:colOff>
      <xdr:row>31</xdr:row>
      <xdr:rowOff>147420</xdr:rowOff>
    </xdr:from>
    <xdr:to>
      <xdr:col>13</xdr:col>
      <xdr:colOff>162247</xdr:colOff>
      <xdr:row>46</xdr:row>
      <xdr:rowOff>137961</xdr:rowOff>
    </xdr:to>
    <xdr:graphicFrame macro="">
      <xdr:nvGraphicFramePr>
        <xdr:cNvPr id="578842" name="Diagram 1">
          <a:extLst>
            <a:ext uri="{FF2B5EF4-FFF2-40B4-BE49-F238E27FC236}">
              <a16:creationId xmlns:a16="http://schemas.microsoft.com/office/drawing/2014/main" id="{00000000-0008-0000-0000-00001AD5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4</xdr:col>
      <xdr:colOff>4233</xdr:colOff>
      <xdr:row>1</xdr:row>
      <xdr:rowOff>47014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43E3EA3-040E-4FF1-881D-0BAE9E6437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0" y="47625"/>
          <a:ext cx="1748366" cy="617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31</xdr:row>
      <xdr:rowOff>122767</xdr:rowOff>
    </xdr:from>
    <xdr:to>
      <xdr:col>13</xdr:col>
      <xdr:colOff>93134</xdr:colOff>
      <xdr:row>46</xdr:row>
      <xdr:rowOff>122767</xdr:rowOff>
    </xdr:to>
    <xdr:graphicFrame macro="">
      <xdr:nvGraphicFramePr>
        <xdr:cNvPr id="349691" name="Diagram 4">
          <a:extLst>
            <a:ext uri="{FF2B5EF4-FFF2-40B4-BE49-F238E27FC236}">
              <a16:creationId xmlns:a16="http://schemas.microsoft.com/office/drawing/2014/main" id="{00000000-0008-0000-0300-0000FB55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377402</xdr:colOff>
      <xdr:row>0</xdr:row>
      <xdr:rowOff>664234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D4B4B44-7539-49F7-87A5-F0420BE24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0" y="47625"/>
          <a:ext cx="1729740" cy="6166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31</xdr:row>
      <xdr:rowOff>91018</xdr:rowOff>
    </xdr:from>
    <xdr:to>
      <xdr:col>13</xdr:col>
      <xdr:colOff>71967</xdr:colOff>
      <xdr:row>46</xdr:row>
      <xdr:rowOff>91018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549AEF6C-FD23-4DCB-B797-4B6ED67B4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4</xdr:col>
      <xdr:colOff>4869</xdr:colOff>
      <xdr:row>0</xdr:row>
      <xdr:rowOff>664234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6DC6FB9-3E59-4EDB-A45E-3BBE1AD81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0" y="47625"/>
          <a:ext cx="1727835" cy="6166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1989A66-5174-4D47-9A54-7685664921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82C643-235D-4185-BB9C-F30BE9B9E7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ouise Bäckemo Johansson" id="{E60637CB-E781-4F87-8EF9-92C3FB0397B0}" userId="S::louise.backemojohansson@goteborgsregionen.se::996bbb77-3bb2-4ef8-b056-c3701666e15d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29" dT="2021-11-11T15:39:49.45" personId="{E60637CB-E781-4F87-8EF9-92C3FB0397B0}" id="{442FD2C5-A224-4FB8-8E03-24D04959320A}">
    <text>Jag är osäker på hela denna rad pga den kraftiga ökningen.</text>
  </threadedComment>
  <threadedComment ref="W29" dT="2021-11-11T15:35:31.48" personId="{E60637CB-E781-4F87-8EF9-92C3FB0397B0}" id="{5D2F2EDF-0EB5-4296-94FC-F8BDB5B12680}">
    <text>denna känns helt fel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43"/>
  <sheetViews>
    <sheetView tabSelected="1" zoomScale="70" zoomScaleNormal="70" workbookViewId="0">
      <selection activeCell="G1" sqref="G1"/>
    </sheetView>
  </sheetViews>
  <sheetFormatPr defaultColWidth="9.1796875" defaultRowHeight="12.5" x14ac:dyDescent="0.25"/>
  <cols>
    <col min="1" max="1" width="9.1796875" style="2"/>
    <col min="2" max="2" width="4.1796875" style="2" customWidth="1"/>
    <col min="3" max="3" width="6.1796875" style="2" customWidth="1"/>
    <col min="4" max="4" width="5.81640625" style="2" bestFit="1" customWidth="1"/>
    <col min="5" max="5" width="11" style="2" bestFit="1" customWidth="1"/>
    <col min="6" max="6" width="5.453125" style="2" bestFit="1" customWidth="1"/>
    <col min="7" max="7" width="9.1796875" style="2" customWidth="1"/>
    <col min="8" max="8" width="6.81640625" style="2" customWidth="1"/>
    <col min="9" max="9" width="7" style="2" customWidth="1"/>
    <col min="10" max="10" width="6" style="2" bestFit="1" customWidth="1"/>
    <col min="11" max="11" width="7.453125" style="2" customWidth="1"/>
    <col min="12" max="12" width="7.1796875" style="2" customWidth="1"/>
    <col min="13" max="13" width="7.81640625" style="2" bestFit="1" customWidth="1"/>
    <col min="14" max="14" width="4.1796875" style="2" bestFit="1" customWidth="1"/>
    <col min="15" max="15" width="5" style="2" bestFit="1" customWidth="1"/>
    <col min="16" max="16" width="11" style="2" bestFit="1" customWidth="1"/>
    <col min="17" max="17" width="4.81640625" style="2" customWidth="1"/>
    <col min="18" max="18" width="4.1796875" style="2" customWidth="1"/>
    <col min="19" max="19" width="4.81640625" style="2" customWidth="1"/>
    <col min="20" max="20" width="6" style="2" bestFit="1" customWidth="1"/>
    <col min="21" max="21" width="9" style="2" bestFit="1" customWidth="1"/>
    <col min="22" max="22" width="5.1796875" style="2" bestFit="1" customWidth="1"/>
    <col min="23" max="23" width="7.453125" style="2" bestFit="1" customWidth="1"/>
    <col min="24" max="24" width="5.1796875" style="2" bestFit="1" customWidth="1"/>
    <col min="25" max="25" width="5.1796875" style="2" customWidth="1"/>
    <col min="26" max="26" width="6" style="2" bestFit="1" customWidth="1"/>
    <col min="27" max="27" width="5.54296875" style="2" bestFit="1" customWidth="1"/>
    <col min="28" max="28" width="4.81640625" style="2" bestFit="1" customWidth="1"/>
    <col min="29" max="29" width="7.81640625" style="2" bestFit="1" customWidth="1"/>
    <col min="30" max="30" width="4.1796875" style="2" bestFit="1" customWidth="1"/>
    <col min="31" max="31" width="6" style="2" bestFit="1" customWidth="1"/>
    <col min="32" max="32" width="10.1796875" style="2" customWidth="1"/>
    <col min="33" max="33" width="9.81640625" style="2" customWidth="1"/>
    <col min="34" max="34" width="5" style="2" bestFit="1" customWidth="1"/>
    <col min="35" max="16384" width="9.1796875" style="2"/>
  </cols>
  <sheetData>
    <row r="1" spans="1:50" ht="48.6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27.75" customHeight="1" x14ac:dyDescent="0.35">
      <c r="A2" s="6"/>
      <c r="B2" s="23" t="s">
        <v>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3.5" x14ac:dyDescent="0.35">
      <c r="A3" s="6"/>
      <c r="B3" s="51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"/>
      <c r="R3" s="51" t="s">
        <v>24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6"/>
      <c r="AH3" s="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9.75" customHeight="1" x14ac:dyDescent="0.35">
      <c r="A4" s="6"/>
      <c r="B4" s="8"/>
      <c r="C4" s="9" t="s">
        <v>12</v>
      </c>
      <c r="D4" s="9" t="s">
        <v>23</v>
      </c>
      <c r="E4" s="9" t="s">
        <v>20</v>
      </c>
      <c r="F4" s="9" t="s">
        <v>13</v>
      </c>
      <c r="G4" s="9" t="s">
        <v>27</v>
      </c>
      <c r="H4" s="9" t="s">
        <v>22</v>
      </c>
      <c r="I4" s="9" t="s">
        <v>18</v>
      </c>
      <c r="J4" s="9" t="s">
        <v>19</v>
      </c>
      <c r="K4" s="9" t="s">
        <v>21</v>
      </c>
      <c r="L4" s="9" t="s">
        <v>14</v>
      </c>
      <c r="M4" s="9" t="s">
        <v>16</v>
      </c>
      <c r="N4" s="9" t="s">
        <v>17</v>
      </c>
      <c r="O4" s="9" t="s">
        <v>15</v>
      </c>
      <c r="P4" s="9" t="s">
        <v>30</v>
      </c>
      <c r="Q4" s="10"/>
      <c r="R4" s="8"/>
      <c r="S4" s="9" t="s">
        <v>12</v>
      </c>
      <c r="T4" s="9" t="s">
        <v>23</v>
      </c>
      <c r="U4" s="9" t="s">
        <v>20</v>
      </c>
      <c r="V4" s="9" t="s">
        <v>13</v>
      </c>
      <c r="W4" s="9" t="s">
        <v>27</v>
      </c>
      <c r="X4" s="9" t="s">
        <v>22</v>
      </c>
      <c r="Y4" s="9" t="s">
        <v>18</v>
      </c>
      <c r="Z4" s="9" t="s">
        <v>19</v>
      </c>
      <c r="AA4" s="9" t="s">
        <v>21</v>
      </c>
      <c r="AB4" s="9" t="s">
        <v>14</v>
      </c>
      <c r="AC4" s="9" t="s">
        <v>16</v>
      </c>
      <c r="AD4" s="9" t="s">
        <v>17</v>
      </c>
      <c r="AE4" s="9" t="s">
        <v>15</v>
      </c>
      <c r="AF4" s="9" t="s">
        <v>30</v>
      </c>
      <c r="AG4" s="6"/>
      <c r="AH4" s="6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" customHeight="1" x14ac:dyDescent="0.35">
      <c r="A5" s="6"/>
      <c r="B5" s="18" t="s">
        <v>0</v>
      </c>
      <c r="C5" s="25">
        <v>540</v>
      </c>
      <c r="D5" s="25">
        <v>703</v>
      </c>
      <c r="E5" s="25">
        <v>18580</v>
      </c>
      <c r="F5" s="25">
        <v>631</v>
      </c>
      <c r="G5" s="25">
        <v>1133</v>
      </c>
      <c r="H5" s="25">
        <v>670</v>
      </c>
      <c r="I5" s="25">
        <v>601</v>
      </c>
      <c r="J5" s="25">
        <v>285</v>
      </c>
      <c r="K5" s="25">
        <v>1239</v>
      </c>
      <c r="L5" s="25">
        <v>759</v>
      </c>
      <c r="M5" s="25">
        <v>412</v>
      </c>
      <c r="N5" s="25">
        <v>199</v>
      </c>
      <c r="O5" s="25">
        <v>129</v>
      </c>
      <c r="P5" s="43">
        <f>SUM(C5:O5)</f>
        <v>25881</v>
      </c>
      <c r="Q5" s="11"/>
      <c r="R5" s="18" t="s">
        <v>0</v>
      </c>
      <c r="S5" s="25">
        <v>415</v>
      </c>
      <c r="T5" s="25">
        <v>652</v>
      </c>
      <c r="U5" s="25">
        <v>12968</v>
      </c>
      <c r="V5" s="25">
        <v>361</v>
      </c>
      <c r="W5" s="25">
        <v>745</v>
      </c>
      <c r="X5" s="25">
        <v>535</v>
      </c>
      <c r="Y5" s="25">
        <v>475</v>
      </c>
      <c r="Z5" s="25">
        <v>230</v>
      </c>
      <c r="AA5" s="25">
        <v>827</v>
      </c>
      <c r="AB5" s="25">
        <v>549</v>
      </c>
      <c r="AC5" s="25">
        <v>263</v>
      </c>
      <c r="AD5" s="25">
        <v>112</v>
      </c>
      <c r="AE5" s="25">
        <v>103</v>
      </c>
      <c r="AF5" s="43">
        <f>SUM(S5:AE5)</f>
        <v>18235</v>
      </c>
      <c r="AG5" s="6"/>
      <c r="AH5" s="6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" customHeight="1" x14ac:dyDescent="0.35">
      <c r="A6" s="6"/>
      <c r="B6" s="18" t="s">
        <v>1</v>
      </c>
      <c r="C6" s="35">
        <v>503</v>
      </c>
      <c r="D6" s="35">
        <v>657</v>
      </c>
      <c r="E6" s="35">
        <v>17501</v>
      </c>
      <c r="F6" s="35">
        <v>599</v>
      </c>
      <c r="G6" s="35">
        <v>1083</v>
      </c>
      <c r="H6" s="35">
        <v>640</v>
      </c>
      <c r="I6" s="35">
        <v>576</v>
      </c>
      <c r="J6" s="35">
        <v>274</v>
      </c>
      <c r="K6" s="35">
        <v>1212</v>
      </c>
      <c r="L6" s="35">
        <v>710</v>
      </c>
      <c r="M6" s="35">
        <v>392</v>
      </c>
      <c r="N6" s="35">
        <v>177</v>
      </c>
      <c r="O6" s="35">
        <v>113</v>
      </c>
      <c r="P6" s="44">
        <f t="shared" ref="P6:P15" si="0">SUM(C6:O6)</f>
        <v>24437</v>
      </c>
      <c r="Q6" s="12"/>
      <c r="R6" s="18" t="s">
        <v>1</v>
      </c>
      <c r="S6" s="35">
        <v>427</v>
      </c>
      <c r="T6" s="35">
        <v>667</v>
      </c>
      <c r="U6" s="35">
        <v>13543</v>
      </c>
      <c r="V6" s="35">
        <v>362</v>
      </c>
      <c r="W6" s="35">
        <v>755</v>
      </c>
      <c r="X6" s="35">
        <v>540</v>
      </c>
      <c r="Y6" s="35">
        <v>486</v>
      </c>
      <c r="Z6" s="35">
        <v>226</v>
      </c>
      <c r="AA6" s="35">
        <v>860</v>
      </c>
      <c r="AB6" s="35">
        <v>576</v>
      </c>
      <c r="AC6" s="35">
        <v>276</v>
      </c>
      <c r="AD6" s="35">
        <v>120</v>
      </c>
      <c r="AE6" s="35">
        <v>108</v>
      </c>
      <c r="AF6" s="44">
        <f>SUM(S6:AE6)</f>
        <v>18946</v>
      </c>
      <c r="AG6" s="6"/>
      <c r="AH6" s="6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" customHeight="1" x14ac:dyDescent="0.35">
      <c r="A7" s="6"/>
      <c r="B7" s="18" t="s">
        <v>2</v>
      </c>
      <c r="C7" s="25">
        <v>470</v>
      </c>
      <c r="D7" s="25">
        <v>549</v>
      </c>
      <c r="E7" s="25">
        <v>15979</v>
      </c>
      <c r="F7" s="25">
        <v>534</v>
      </c>
      <c r="G7" s="25">
        <v>989</v>
      </c>
      <c r="H7" s="25">
        <v>578</v>
      </c>
      <c r="I7" s="25">
        <v>484</v>
      </c>
      <c r="J7" s="25">
        <v>256</v>
      </c>
      <c r="K7" s="25">
        <v>1042</v>
      </c>
      <c r="L7" s="25">
        <v>650</v>
      </c>
      <c r="M7" s="25">
        <v>318</v>
      </c>
      <c r="N7" s="25">
        <v>170</v>
      </c>
      <c r="O7" s="25">
        <v>97</v>
      </c>
      <c r="P7" s="43">
        <f t="shared" si="0"/>
        <v>22116</v>
      </c>
      <c r="Q7" s="11"/>
      <c r="R7" s="18" t="s">
        <v>2</v>
      </c>
      <c r="S7" s="25">
        <v>426</v>
      </c>
      <c r="T7" s="25">
        <v>689</v>
      </c>
      <c r="U7" s="25">
        <v>14053</v>
      </c>
      <c r="V7" s="25">
        <v>375</v>
      </c>
      <c r="W7" s="25">
        <v>768</v>
      </c>
      <c r="X7" s="25">
        <v>567</v>
      </c>
      <c r="Y7" s="25">
        <v>489</v>
      </c>
      <c r="Z7" s="25">
        <v>230</v>
      </c>
      <c r="AA7" s="25">
        <v>914</v>
      </c>
      <c r="AB7" s="25">
        <v>605</v>
      </c>
      <c r="AC7" s="25">
        <v>323</v>
      </c>
      <c r="AD7" s="25">
        <v>117</v>
      </c>
      <c r="AE7" s="25">
        <v>113</v>
      </c>
      <c r="AF7" s="43">
        <f>SUM(S7:AE7)</f>
        <v>19669</v>
      </c>
      <c r="AG7" s="6"/>
      <c r="AH7" s="6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" customHeight="1" x14ac:dyDescent="0.35">
      <c r="A8" s="6"/>
      <c r="B8" s="18" t="s">
        <v>3</v>
      </c>
      <c r="C8" s="35">
        <v>416</v>
      </c>
      <c r="D8" s="35">
        <v>497</v>
      </c>
      <c r="E8" s="35">
        <v>14751</v>
      </c>
      <c r="F8" s="35">
        <v>487</v>
      </c>
      <c r="G8" s="35">
        <v>899</v>
      </c>
      <c r="H8" s="35">
        <v>506</v>
      </c>
      <c r="I8" s="35">
        <v>428</v>
      </c>
      <c r="J8" s="35">
        <v>219</v>
      </c>
      <c r="K8" s="35">
        <v>974</v>
      </c>
      <c r="L8" s="35">
        <v>603</v>
      </c>
      <c r="M8" s="35">
        <v>278</v>
      </c>
      <c r="N8" s="35">
        <v>156</v>
      </c>
      <c r="O8" s="35">
        <v>92</v>
      </c>
      <c r="P8" s="44">
        <f t="shared" si="0"/>
        <v>20306</v>
      </c>
      <c r="Q8" s="11"/>
      <c r="R8" s="18" t="s">
        <v>3</v>
      </c>
      <c r="S8" s="35">
        <v>425</v>
      </c>
      <c r="T8" s="35">
        <v>672</v>
      </c>
      <c r="U8" s="35">
        <v>14400</v>
      </c>
      <c r="V8" s="35">
        <v>382</v>
      </c>
      <c r="W8" s="35">
        <v>767</v>
      </c>
      <c r="X8" s="35">
        <v>587</v>
      </c>
      <c r="Y8" s="35">
        <v>506</v>
      </c>
      <c r="Z8" s="35">
        <v>243</v>
      </c>
      <c r="AA8" s="35">
        <v>928</v>
      </c>
      <c r="AB8" s="35">
        <v>625</v>
      </c>
      <c r="AC8" s="35">
        <v>339</v>
      </c>
      <c r="AD8" s="35">
        <v>122</v>
      </c>
      <c r="AE8" s="35">
        <v>114</v>
      </c>
      <c r="AF8" s="44">
        <f>SUM(S8:AE8)</f>
        <v>20110</v>
      </c>
      <c r="AG8" s="6"/>
      <c r="AH8" s="6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" customHeight="1" x14ac:dyDescent="0.35">
      <c r="A9" s="6"/>
      <c r="B9" s="18" t="s">
        <v>4</v>
      </c>
      <c r="C9" s="25">
        <v>395</v>
      </c>
      <c r="D9" s="25">
        <v>487</v>
      </c>
      <c r="E9" s="25">
        <v>14116</v>
      </c>
      <c r="F9" s="25">
        <v>458</v>
      </c>
      <c r="G9" s="45">
        <v>822</v>
      </c>
      <c r="H9" s="25">
        <v>509</v>
      </c>
      <c r="I9" s="25">
        <v>405</v>
      </c>
      <c r="J9" s="25">
        <v>226</v>
      </c>
      <c r="K9" s="25">
        <v>926</v>
      </c>
      <c r="L9" s="25">
        <v>578</v>
      </c>
      <c r="M9" s="25">
        <v>263</v>
      </c>
      <c r="N9" s="25">
        <v>153</v>
      </c>
      <c r="O9" s="25">
        <v>96</v>
      </c>
      <c r="P9" s="43">
        <f t="shared" si="0"/>
        <v>19434</v>
      </c>
      <c r="Q9" s="11"/>
      <c r="R9" s="18" t="s">
        <v>4</v>
      </c>
      <c r="S9" s="25">
        <v>425</v>
      </c>
      <c r="T9" s="25">
        <v>652</v>
      </c>
      <c r="U9" s="25">
        <v>14262</v>
      </c>
      <c r="V9" s="25">
        <v>371</v>
      </c>
      <c r="W9" s="25">
        <v>744</v>
      </c>
      <c r="X9" s="25">
        <v>574</v>
      </c>
      <c r="Y9" s="25">
        <v>500</v>
      </c>
      <c r="Z9" s="25">
        <v>234</v>
      </c>
      <c r="AA9" s="25">
        <v>891</v>
      </c>
      <c r="AB9" s="25">
        <v>619</v>
      </c>
      <c r="AC9" s="25">
        <v>330</v>
      </c>
      <c r="AD9" s="25">
        <v>117</v>
      </c>
      <c r="AE9" s="25">
        <v>113</v>
      </c>
      <c r="AF9" s="43">
        <f>SUM(S9:AE9)</f>
        <v>19832</v>
      </c>
      <c r="AG9" s="6"/>
      <c r="AH9" s="6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" customHeight="1" x14ac:dyDescent="0.35">
      <c r="A10" s="6"/>
      <c r="B10" s="18" t="s">
        <v>5</v>
      </c>
      <c r="C10" s="35">
        <v>423</v>
      </c>
      <c r="D10" s="35">
        <v>521</v>
      </c>
      <c r="E10" s="35">
        <v>14620</v>
      </c>
      <c r="F10" s="35">
        <v>457</v>
      </c>
      <c r="G10" s="46">
        <v>855</v>
      </c>
      <c r="H10" s="35">
        <v>531</v>
      </c>
      <c r="I10" s="35">
        <v>443</v>
      </c>
      <c r="J10" s="35">
        <v>234</v>
      </c>
      <c r="K10" s="35">
        <v>988</v>
      </c>
      <c r="L10" s="35">
        <v>589</v>
      </c>
      <c r="M10" s="35">
        <v>285</v>
      </c>
      <c r="N10" s="35">
        <v>146</v>
      </c>
      <c r="O10" s="35">
        <v>93</v>
      </c>
      <c r="P10" s="44">
        <f t="shared" si="0"/>
        <v>20185</v>
      </c>
      <c r="Q10" s="11"/>
      <c r="R10" s="18" t="s">
        <v>5</v>
      </c>
      <c r="S10" s="35">
        <v>404</v>
      </c>
      <c r="T10" s="35">
        <v>632</v>
      </c>
      <c r="U10" s="35">
        <v>13487</v>
      </c>
      <c r="V10" s="35">
        <v>368</v>
      </c>
      <c r="W10" s="35">
        <v>692</v>
      </c>
      <c r="X10" s="35">
        <v>544</v>
      </c>
      <c r="Y10" s="35">
        <v>484</v>
      </c>
      <c r="Z10" s="35">
        <v>238</v>
      </c>
      <c r="AA10" s="35">
        <v>847</v>
      </c>
      <c r="AB10" s="35">
        <v>605</v>
      </c>
      <c r="AC10" s="35">
        <v>306</v>
      </c>
      <c r="AD10" s="35">
        <v>105</v>
      </c>
      <c r="AE10" s="35">
        <v>119</v>
      </c>
      <c r="AF10" s="44">
        <f t="shared" ref="AF10:AF16" si="1">SUM(S10:AE10)</f>
        <v>18831</v>
      </c>
      <c r="AG10" s="6"/>
      <c r="AH10" s="6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" customHeight="1" x14ac:dyDescent="0.35">
      <c r="A11" s="6"/>
      <c r="B11" s="18" t="s">
        <v>6</v>
      </c>
      <c r="C11" s="25">
        <v>433</v>
      </c>
      <c r="D11" s="25">
        <v>545</v>
      </c>
      <c r="E11" s="25">
        <v>15351</v>
      </c>
      <c r="F11" s="25">
        <v>449</v>
      </c>
      <c r="G11" s="45">
        <v>892</v>
      </c>
      <c r="H11" s="25">
        <v>535</v>
      </c>
      <c r="I11" s="25">
        <v>484</v>
      </c>
      <c r="J11" s="25">
        <v>240</v>
      </c>
      <c r="K11" s="25">
        <v>1023</v>
      </c>
      <c r="L11" s="25">
        <v>648</v>
      </c>
      <c r="M11" s="25">
        <v>312</v>
      </c>
      <c r="N11" s="25">
        <v>150</v>
      </c>
      <c r="O11" s="25">
        <v>106</v>
      </c>
      <c r="P11" s="43">
        <f t="shared" si="0"/>
        <v>21168</v>
      </c>
      <c r="Q11" s="11"/>
      <c r="R11" s="18" t="s">
        <v>6</v>
      </c>
      <c r="S11" s="25">
        <v>370</v>
      </c>
      <c r="T11" s="25">
        <v>597</v>
      </c>
      <c r="U11" s="25">
        <v>12891</v>
      </c>
      <c r="V11" s="25">
        <v>350</v>
      </c>
      <c r="W11" s="25">
        <v>673</v>
      </c>
      <c r="X11" s="25">
        <v>531</v>
      </c>
      <c r="Y11" s="25">
        <v>462</v>
      </c>
      <c r="Z11" s="25">
        <v>226</v>
      </c>
      <c r="AA11" s="25">
        <v>822</v>
      </c>
      <c r="AB11" s="25">
        <v>586</v>
      </c>
      <c r="AC11" s="25">
        <v>297</v>
      </c>
      <c r="AD11" s="25">
        <v>96</v>
      </c>
      <c r="AE11" s="25">
        <v>112</v>
      </c>
      <c r="AF11" s="43">
        <f t="shared" si="1"/>
        <v>18013</v>
      </c>
      <c r="AG11" s="6"/>
      <c r="AH11" s="6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" customHeight="1" x14ac:dyDescent="0.35">
      <c r="A12" s="6"/>
      <c r="B12" s="18" t="s">
        <v>7</v>
      </c>
      <c r="C12" s="35">
        <v>429</v>
      </c>
      <c r="D12" s="35">
        <v>493</v>
      </c>
      <c r="E12" s="35">
        <v>15190</v>
      </c>
      <c r="F12" s="35">
        <v>436</v>
      </c>
      <c r="G12" s="46">
        <v>863</v>
      </c>
      <c r="H12" s="35">
        <v>535</v>
      </c>
      <c r="I12" s="35">
        <v>457</v>
      </c>
      <c r="J12" s="35">
        <v>248</v>
      </c>
      <c r="K12" s="35">
        <v>985</v>
      </c>
      <c r="L12" s="35">
        <v>628</v>
      </c>
      <c r="M12" s="35">
        <v>298</v>
      </c>
      <c r="N12" s="35">
        <v>150</v>
      </c>
      <c r="O12" s="35">
        <v>99</v>
      </c>
      <c r="P12" s="44">
        <f t="shared" si="0"/>
        <v>20811</v>
      </c>
      <c r="Q12" s="11"/>
      <c r="R12" s="18" t="s">
        <v>7</v>
      </c>
      <c r="S12" s="35">
        <v>350</v>
      </c>
      <c r="T12" s="35">
        <v>576</v>
      </c>
      <c r="U12" s="35">
        <v>12300</v>
      </c>
      <c r="V12" s="35">
        <v>331</v>
      </c>
      <c r="W12" s="35">
        <v>632</v>
      </c>
      <c r="X12" s="35">
        <v>511</v>
      </c>
      <c r="Y12" s="35">
        <v>451</v>
      </c>
      <c r="Z12" s="35">
        <v>217</v>
      </c>
      <c r="AA12" s="35">
        <v>770</v>
      </c>
      <c r="AB12" s="35">
        <v>537</v>
      </c>
      <c r="AC12" s="35">
        <v>273</v>
      </c>
      <c r="AD12" s="35">
        <v>103</v>
      </c>
      <c r="AE12" s="35">
        <v>114</v>
      </c>
      <c r="AF12" s="44">
        <f t="shared" si="1"/>
        <v>17165</v>
      </c>
      <c r="AG12" s="6"/>
      <c r="AH12" s="6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" customHeight="1" x14ac:dyDescent="0.35">
      <c r="A13" s="6"/>
      <c r="B13" s="18" t="s">
        <v>8</v>
      </c>
      <c r="C13" s="25">
        <v>407</v>
      </c>
      <c r="D13" s="25">
        <v>493</v>
      </c>
      <c r="E13" s="25">
        <v>14313</v>
      </c>
      <c r="F13" s="25">
        <v>384</v>
      </c>
      <c r="G13" s="45">
        <v>828</v>
      </c>
      <c r="H13" s="25">
        <v>502</v>
      </c>
      <c r="I13" s="25">
        <v>434</v>
      </c>
      <c r="J13" s="25">
        <v>223</v>
      </c>
      <c r="K13" s="25">
        <v>921</v>
      </c>
      <c r="L13" s="25">
        <v>571</v>
      </c>
      <c r="M13" s="25">
        <v>271</v>
      </c>
      <c r="N13" s="25">
        <v>131</v>
      </c>
      <c r="O13" s="25">
        <v>85</v>
      </c>
      <c r="P13" s="43">
        <f t="shared" si="0"/>
        <v>19563</v>
      </c>
      <c r="Q13" s="11"/>
      <c r="R13" s="18" t="s">
        <v>8</v>
      </c>
      <c r="S13" s="25">
        <v>341</v>
      </c>
      <c r="T13" s="25">
        <v>559</v>
      </c>
      <c r="U13" s="25">
        <v>12007</v>
      </c>
      <c r="V13" s="25">
        <v>326</v>
      </c>
      <c r="W13" s="25">
        <v>617</v>
      </c>
      <c r="X13" s="25">
        <v>492</v>
      </c>
      <c r="Y13" s="25">
        <v>445</v>
      </c>
      <c r="Z13" s="25">
        <v>214</v>
      </c>
      <c r="AA13" s="25">
        <v>758</v>
      </c>
      <c r="AB13" s="25">
        <v>534</v>
      </c>
      <c r="AC13" s="25">
        <v>284</v>
      </c>
      <c r="AD13" s="25">
        <v>98</v>
      </c>
      <c r="AE13" s="25">
        <v>113</v>
      </c>
      <c r="AF13" s="43">
        <f t="shared" si="1"/>
        <v>16788</v>
      </c>
      <c r="AG13" s="6"/>
      <c r="AH13" s="6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" customHeight="1" x14ac:dyDescent="0.35">
      <c r="A14" s="6"/>
      <c r="B14" s="18" t="s">
        <v>9</v>
      </c>
      <c r="C14" s="35">
        <v>406</v>
      </c>
      <c r="D14" s="35">
        <v>468</v>
      </c>
      <c r="E14" s="30">
        <v>13426</v>
      </c>
      <c r="F14" s="35">
        <v>394</v>
      </c>
      <c r="G14" s="46">
        <v>761</v>
      </c>
      <c r="H14" s="35">
        <v>469</v>
      </c>
      <c r="I14" s="35">
        <v>396</v>
      </c>
      <c r="J14" s="35">
        <v>220</v>
      </c>
      <c r="K14" s="35">
        <v>914</v>
      </c>
      <c r="L14" s="35">
        <v>542</v>
      </c>
      <c r="M14" s="35">
        <v>273</v>
      </c>
      <c r="N14" s="35">
        <v>111</v>
      </c>
      <c r="O14" s="35">
        <v>79</v>
      </c>
      <c r="P14" s="44">
        <f t="shared" si="0"/>
        <v>18459</v>
      </c>
      <c r="Q14" s="11"/>
      <c r="R14" s="18" t="s">
        <v>9</v>
      </c>
      <c r="S14" s="35">
        <v>329</v>
      </c>
      <c r="T14" s="35">
        <v>561</v>
      </c>
      <c r="U14" s="35">
        <v>11723</v>
      </c>
      <c r="V14" s="35">
        <v>317</v>
      </c>
      <c r="W14" s="35">
        <v>617</v>
      </c>
      <c r="X14" s="35">
        <v>495</v>
      </c>
      <c r="Y14" s="35">
        <v>445</v>
      </c>
      <c r="Z14" s="35">
        <v>214</v>
      </c>
      <c r="AA14" s="35">
        <v>716</v>
      </c>
      <c r="AB14" s="35">
        <v>535</v>
      </c>
      <c r="AC14" s="35">
        <v>276</v>
      </c>
      <c r="AD14" s="35">
        <v>101</v>
      </c>
      <c r="AE14" s="35">
        <v>105</v>
      </c>
      <c r="AF14" s="44">
        <f t="shared" si="1"/>
        <v>16434</v>
      </c>
      <c r="AG14" s="6"/>
      <c r="AH14" s="6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" customHeight="1" x14ac:dyDescent="0.35">
      <c r="A15" s="6"/>
      <c r="B15" s="18" t="s">
        <v>10</v>
      </c>
      <c r="C15" s="25">
        <v>365</v>
      </c>
      <c r="D15" s="25">
        <v>474</v>
      </c>
      <c r="E15" s="25">
        <v>12628</v>
      </c>
      <c r="F15" s="25">
        <v>383</v>
      </c>
      <c r="G15" s="45">
        <v>714</v>
      </c>
      <c r="H15" s="25">
        <v>442</v>
      </c>
      <c r="I15" s="25">
        <v>343</v>
      </c>
      <c r="J15" s="25">
        <v>220</v>
      </c>
      <c r="K15" s="25">
        <v>879</v>
      </c>
      <c r="L15" s="25">
        <v>491</v>
      </c>
      <c r="M15" s="25">
        <v>264</v>
      </c>
      <c r="N15" s="25">
        <v>111</v>
      </c>
      <c r="O15" s="25">
        <v>77</v>
      </c>
      <c r="P15" s="43">
        <f t="shared" si="0"/>
        <v>17391</v>
      </c>
      <c r="Q15" s="11"/>
      <c r="R15" s="18" t="s">
        <v>10</v>
      </c>
      <c r="S15" s="25">
        <v>319</v>
      </c>
      <c r="T15" s="25">
        <v>538</v>
      </c>
      <c r="U15" s="25">
        <v>11621</v>
      </c>
      <c r="V15" s="25">
        <v>325</v>
      </c>
      <c r="W15" s="25">
        <v>613</v>
      </c>
      <c r="X15" s="25">
        <v>488</v>
      </c>
      <c r="Y15" s="25">
        <v>439</v>
      </c>
      <c r="Z15" s="25">
        <v>216</v>
      </c>
      <c r="AA15" s="25">
        <v>718</v>
      </c>
      <c r="AB15" s="25">
        <v>520</v>
      </c>
      <c r="AC15" s="25">
        <v>275</v>
      </c>
      <c r="AD15" s="25">
        <v>94</v>
      </c>
      <c r="AE15" s="25">
        <v>108</v>
      </c>
      <c r="AF15" s="43">
        <f t="shared" si="1"/>
        <v>16274</v>
      </c>
      <c r="AG15" s="6"/>
      <c r="AH15" s="6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" customHeight="1" x14ac:dyDescent="0.35">
      <c r="A16" s="6"/>
      <c r="B16" s="21" t="s">
        <v>11</v>
      </c>
      <c r="C16" s="42">
        <v>363</v>
      </c>
      <c r="D16" s="42">
        <v>459</v>
      </c>
      <c r="E16" s="37">
        <v>12543</v>
      </c>
      <c r="F16" s="42">
        <v>400</v>
      </c>
      <c r="G16" s="47">
        <v>744</v>
      </c>
      <c r="H16" s="42">
        <v>439</v>
      </c>
      <c r="I16" s="42">
        <v>351</v>
      </c>
      <c r="J16" s="42">
        <v>229</v>
      </c>
      <c r="K16" s="42">
        <v>855</v>
      </c>
      <c r="L16" s="42">
        <v>492</v>
      </c>
      <c r="M16" s="42">
        <v>249</v>
      </c>
      <c r="N16" s="42">
        <v>127</v>
      </c>
      <c r="O16" s="42">
        <v>88</v>
      </c>
      <c r="P16" s="48">
        <f>SUM(C16:O16)</f>
        <v>17339</v>
      </c>
      <c r="Q16" s="11"/>
      <c r="R16" s="21" t="s">
        <v>11</v>
      </c>
      <c r="S16" s="42">
        <v>314</v>
      </c>
      <c r="T16" s="42">
        <v>584</v>
      </c>
      <c r="U16" s="42">
        <v>11533</v>
      </c>
      <c r="V16" s="42">
        <v>302</v>
      </c>
      <c r="W16" s="42">
        <v>584</v>
      </c>
      <c r="X16" s="42">
        <v>471</v>
      </c>
      <c r="Y16" s="42">
        <v>434</v>
      </c>
      <c r="Z16" s="42">
        <v>214</v>
      </c>
      <c r="AA16" s="42">
        <v>709</v>
      </c>
      <c r="AB16" s="42">
        <v>519</v>
      </c>
      <c r="AC16" s="42">
        <v>291</v>
      </c>
      <c r="AD16" s="42">
        <v>92</v>
      </c>
      <c r="AE16" s="42">
        <v>111</v>
      </c>
      <c r="AF16" s="48">
        <f t="shared" si="1"/>
        <v>16158</v>
      </c>
      <c r="AG16" s="6"/>
      <c r="AH16" s="6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6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 customHeight="1" x14ac:dyDescent="0.35">
      <c r="A18" s="6"/>
      <c r="B18" s="51" t="s">
        <v>25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11"/>
      <c r="R18" s="22" t="s">
        <v>32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9.75" customHeight="1" x14ac:dyDescent="0.35">
      <c r="A19" s="6"/>
      <c r="B19" s="8"/>
      <c r="C19" s="9" t="s">
        <v>12</v>
      </c>
      <c r="D19" s="9" t="s">
        <v>23</v>
      </c>
      <c r="E19" s="9" t="s">
        <v>20</v>
      </c>
      <c r="F19" s="9" t="s">
        <v>13</v>
      </c>
      <c r="G19" s="9" t="s">
        <v>27</v>
      </c>
      <c r="H19" s="9" t="s">
        <v>22</v>
      </c>
      <c r="I19" s="9" t="s">
        <v>18</v>
      </c>
      <c r="J19" s="9" t="s">
        <v>19</v>
      </c>
      <c r="K19" s="9" t="s">
        <v>21</v>
      </c>
      <c r="L19" s="9" t="s">
        <v>14</v>
      </c>
      <c r="M19" s="9" t="s">
        <v>16</v>
      </c>
      <c r="N19" s="9" t="s">
        <v>17</v>
      </c>
      <c r="O19" s="9" t="s">
        <v>15</v>
      </c>
      <c r="P19" s="9" t="s">
        <v>30</v>
      </c>
      <c r="Q19" s="6"/>
      <c r="R19" s="8"/>
      <c r="S19" s="9" t="s">
        <v>12</v>
      </c>
      <c r="T19" s="9" t="s">
        <v>23</v>
      </c>
      <c r="U19" s="9" t="s">
        <v>20</v>
      </c>
      <c r="V19" s="9" t="s">
        <v>13</v>
      </c>
      <c r="W19" s="9" t="s">
        <v>27</v>
      </c>
      <c r="X19" s="9" t="s">
        <v>22</v>
      </c>
      <c r="Y19" s="9" t="s">
        <v>18</v>
      </c>
      <c r="Z19" s="9" t="s">
        <v>19</v>
      </c>
      <c r="AA19" s="9" t="s">
        <v>21</v>
      </c>
      <c r="AB19" s="9" t="s">
        <v>14</v>
      </c>
      <c r="AC19" s="9" t="s">
        <v>16</v>
      </c>
      <c r="AD19" s="9" t="s">
        <v>17</v>
      </c>
      <c r="AE19" s="9" t="s">
        <v>15</v>
      </c>
      <c r="AF19" s="9" t="s">
        <v>39</v>
      </c>
      <c r="AG19" s="9" t="s">
        <v>26</v>
      </c>
      <c r="AH19" s="6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 x14ac:dyDescent="0.35">
      <c r="A20" s="6"/>
      <c r="B20" s="18" t="s">
        <v>0</v>
      </c>
      <c r="C20" s="25">
        <f>C5+S5</f>
        <v>955</v>
      </c>
      <c r="D20" s="25">
        <f t="shared" ref="D20:O20" si="2">D5+T5</f>
        <v>1355</v>
      </c>
      <c r="E20" s="36">
        <f t="shared" si="2"/>
        <v>31548</v>
      </c>
      <c r="F20" s="25">
        <f t="shared" si="2"/>
        <v>992</v>
      </c>
      <c r="G20" s="25">
        <f t="shared" si="2"/>
        <v>1878</v>
      </c>
      <c r="H20" s="25">
        <f t="shared" si="2"/>
        <v>1205</v>
      </c>
      <c r="I20" s="25">
        <f t="shared" si="2"/>
        <v>1076</v>
      </c>
      <c r="J20" s="25">
        <f t="shared" si="2"/>
        <v>515</v>
      </c>
      <c r="K20" s="25">
        <f t="shared" si="2"/>
        <v>2066</v>
      </c>
      <c r="L20" s="25">
        <f t="shared" si="2"/>
        <v>1308</v>
      </c>
      <c r="M20" s="25">
        <f t="shared" si="2"/>
        <v>675</v>
      </c>
      <c r="N20" s="25">
        <f t="shared" si="2"/>
        <v>311</v>
      </c>
      <c r="O20" s="25">
        <f t="shared" si="2"/>
        <v>232</v>
      </c>
      <c r="P20" s="43">
        <f>SUM(C20:O20)</f>
        <v>44116</v>
      </c>
      <c r="Q20" s="6"/>
      <c r="R20" s="18" t="s">
        <v>0</v>
      </c>
      <c r="S20" s="33">
        <f>C20/16355*100</f>
        <v>5.8391929073677771</v>
      </c>
      <c r="T20" s="33">
        <f>D20/20565*100</f>
        <v>6.5888645757354727</v>
      </c>
      <c r="U20" s="33">
        <f>E20/316997*100</f>
        <v>9.9521446575204173</v>
      </c>
      <c r="V20" s="33">
        <f>F20/19679*100</f>
        <v>5.0409065501295798</v>
      </c>
      <c r="W20" s="33">
        <f>G20/42779*100</f>
        <v>4.3900044414315431</v>
      </c>
      <c r="X20" s="33">
        <f>H20/24065*100</f>
        <v>5.0072719717431955</v>
      </c>
      <c r="Y20" s="33">
        <f>I20/21558*100</f>
        <v>4.9911865664718436</v>
      </c>
      <c r="Z20" s="33">
        <f>J20/7213*100</f>
        <v>7.1398863163732145</v>
      </c>
      <c r="AA20" s="33">
        <f>K20/38053*100</f>
        <v>5.4292697027829604</v>
      </c>
      <c r="AB20" s="33">
        <f>L20/20428*100</f>
        <v>6.4029763070295678</v>
      </c>
      <c r="AC20" s="33">
        <f>M20/13724*100</f>
        <v>4.9183911396094429</v>
      </c>
      <c r="AD20" s="33">
        <f>N20/7445*100</f>
        <v>4.177300201477502</v>
      </c>
      <c r="AE20" s="33">
        <f>O20/6195*100</f>
        <v>3.744955609362389</v>
      </c>
      <c r="AF20" s="33">
        <f>P20/555056*100</f>
        <v>7.9480268657576891</v>
      </c>
      <c r="AG20" s="33">
        <v>8.8000000000000007</v>
      </c>
      <c r="AH20" s="6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" customHeight="1" x14ac:dyDescent="0.35">
      <c r="A21" s="6"/>
      <c r="B21" s="19" t="s">
        <v>1</v>
      </c>
      <c r="C21" s="35">
        <f t="shared" ref="C21:C31" si="3">C6+S6</f>
        <v>930</v>
      </c>
      <c r="D21" s="35">
        <f t="shared" ref="D21:D31" si="4">D6+T6</f>
        <v>1324</v>
      </c>
      <c r="E21" s="35">
        <f t="shared" ref="E21:E26" si="5">E6+U6</f>
        <v>31044</v>
      </c>
      <c r="F21" s="35">
        <f t="shared" ref="F21:F31" si="6">F6+V6</f>
        <v>961</v>
      </c>
      <c r="G21" s="35">
        <f t="shared" ref="G21:G31" si="7">G6+W6</f>
        <v>1838</v>
      </c>
      <c r="H21" s="35">
        <f t="shared" ref="H21:H31" si="8">H6+X6</f>
        <v>1180</v>
      </c>
      <c r="I21" s="35">
        <f t="shared" ref="I21:I31" si="9">I6+Y6</f>
        <v>1062</v>
      </c>
      <c r="J21" s="35">
        <f t="shared" ref="J21:J31" si="10">J6+Z6</f>
        <v>500</v>
      </c>
      <c r="K21" s="35">
        <f t="shared" ref="K21:K31" si="11">K6+AA6</f>
        <v>2072</v>
      </c>
      <c r="L21" s="35">
        <f t="shared" ref="L21:L31" si="12">L6+AB6</f>
        <v>1286</v>
      </c>
      <c r="M21" s="35">
        <f t="shared" ref="M21:M31" si="13">M6+AC6</f>
        <v>668</v>
      </c>
      <c r="N21" s="35">
        <f t="shared" ref="N21:N31" si="14">N6+AD6</f>
        <v>297</v>
      </c>
      <c r="O21" s="35">
        <f t="shared" ref="O21:O31" si="15">O6+AE6</f>
        <v>221</v>
      </c>
      <c r="P21" s="44">
        <f t="shared" ref="P21:P31" si="16">SUM(C21:O21)</f>
        <v>43383</v>
      </c>
      <c r="Q21" s="6"/>
      <c r="R21" s="19" t="s">
        <v>1</v>
      </c>
      <c r="S21" s="34">
        <f>C21/16330*100</f>
        <v>5.6950398040416417</v>
      </c>
      <c r="T21" s="34">
        <f>D21/20534*100</f>
        <v>6.4478426025129059</v>
      </c>
      <c r="U21" s="34">
        <f>E21/316493*100</f>
        <v>9.8087477448158413</v>
      </c>
      <c r="V21" s="34">
        <f>F21/19648*100</f>
        <v>4.8910830618892511</v>
      </c>
      <c r="W21" s="34">
        <f>G21/42739*100</f>
        <v>4.3005217716839423</v>
      </c>
      <c r="X21" s="34">
        <f>H21/24040*100</f>
        <v>4.9084858569051582</v>
      </c>
      <c r="Y21" s="34">
        <f>I21/21544*100</f>
        <v>4.9294467137021911</v>
      </c>
      <c r="Z21" s="34">
        <f>J21/7198*100</f>
        <v>6.9463739927757713</v>
      </c>
      <c r="AA21" s="34">
        <f>K21/38059*100</f>
        <v>5.4441787750597754</v>
      </c>
      <c r="AB21" s="34">
        <f>L21/20406*100</f>
        <v>6.3020680192100356</v>
      </c>
      <c r="AC21" s="34">
        <f>M21/13717*100</f>
        <v>4.8698695049938037</v>
      </c>
      <c r="AD21" s="34">
        <f>N21/7431*100</f>
        <v>3.9967702866370609</v>
      </c>
      <c r="AE21" s="34">
        <f>O21/6184*100</f>
        <v>3.5737386804657176</v>
      </c>
      <c r="AF21" s="34">
        <f>P21/554323*100</f>
        <v>7.8263034368048947</v>
      </c>
      <c r="AG21" s="34">
        <v>8.6999999999999993</v>
      </c>
      <c r="AH21" s="6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" customHeight="1" x14ac:dyDescent="0.35">
      <c r="A22" s="6"/>
      <c r="B22" s="18" t="s">
        <v>2</v>
      </c>
      <c r="C22" s="25">
        <f t="shared" si="3"/>
        <v>896</v>
      </c>
      <c r="D22" s="25">
        <f t="shared" si="4"/>
        <v>1238</v>
      </c>
      <c r="E22" s="36">
        <f t="shared" si="5"/>
        <v>30032</v>
      </c>
      <c r="F22" s="25">
        <f t="shared" si="6"/>
        <v>909</v>
      </c>
      <c r="G22" s="25">
        <f t="shared" si="7"/>
        <v>1757</v>
      </c>
      <c r="H22" s="25">
        <f t="shared" si="8"/>
        <v>1145</v>
      </c>
      <c r="I22" s="25">
        <f t="shared" si="9"/>
        <v>973</v>
      </c>
      <c r="J22" s="25">
        <f t="shared" si="10"/>
        <v>486</v>
      </c>
      <c r="K22" s="25">
        <f t="shared" si="11"/>
        <v>1956</v>
      </c>
      <c r="L22" s="25">
        <f t="shared" si="12"/>
        <v>1255</v>
      </c>
      <c r="M22" s="25">
        <f t="shared" si="13"/>
        <v>641</v>
      </c>
      <c r="N22" s="25">
        <f t="shared" si="14"/>
        <v>287</v>
      </c>
      <c r="O22" s="25">
        <f t="shared" si="15"/>
        <v>210</v>
      </c>
      <c r="P22" s="43">
        <f t="shared" si="16"/>
        <v>41785</v>
      </c>
      <c r="Q22" s="6"/>
      <c r="R22" s="18" t="s">
        <v>2</v>
      </c>
      <c r="S22" s="33">
        <f>C22/16296*100</f>
        <v>5.4982817869415808</v>
      </c>
      <c r="T22" s="33">
        <f>D22/20448*100</f>
        <v>6.0543818466353674</v>
      </c>
      <c r="U22" s="33">
        <f>E22/315481*100</f>
        <v>9.5194322320520097</v>
      </c>
      <c r="V22" s="33">
        <f>F22/19596*100</f>
        <v>4.6387017758726268</v>
      </c>
      <c r="W22" s="33">
        <f>G22/42658*100</f>
        <v>4.1188053823432886</v>
      </c>
      <c r="X22" s="33">
        <f>H22/24005*100</f>
        <v>4.7698396167465109</v>
      </c>
      <c r="Y22" s="33">
        <f>I22/21455*100</f>
        <v>4.5350734094616634</v>
      </c>
      <c r="Z22" s="33">
        <f>J22/7184*100</f>
        <v>6.7650334075723837</v>
      </c>
      <c r="AA22" s="33">
        <f>K22/37943*100</f>
        <v>5.1551010726616244</v>
      </c>
      <c r="AB22" s="33">
        <f>L22/20375*100</f>
        <v>6.1595092024539877</v>
      </c>
      <c r="AC22" s="33">
        <f>M22/13690*100</f>
        <v>4.6822498173849523</v>
      </c>
      <c r="AD22" s="33">
        <f>N22/7421*100</f>
        <v>3.867403314917127</v>
      </c>
      <c r="AE22" s="33">
        <f>O22/6173*100</f>
        <v>3.4019115502996926</v>
      </c>
      <c r="AF22" s="33">
        <f>P22/552725*100</f>
        <v>7.5598172689854799</v>
      </c>
      <c r="AG22" s="33">
        <v>8.4</v>
      </c>
      <c r="AH22" s="6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" customHeight="1" x14ac:dyDescent="0.35">
      <c r="A23" s="6"/>
      <c r="B23" s="19" t="s">
        <v>3</v>
      </c>
      <c r="C23" s="35">
        <f t="shared" si="3"/>
        <v>841</v>
      </c>
      <c r="D23" s="35">
        <f t="shared" si="4"/>
        <v>1169</v>
      </c>
      <c r="E23" s="35">
        <f t="shared" si="5"/>
        <v>29151</v>
      </c>
      <c r="F23" s="35">
        <f t="shared" si="6"/>
        <v>869</v>
      </c>
      <c r="G23" s="35">
        <f t="shared" si="7"/>
        <v>1666</v>
      </c>
      <c r="H23" s="35">
        <f t="shared" si="8"/>
        <v>1093</v>
      </c>
      <c r="I23" s="35">
        <f t="shared" si="9"/>
        <v>934</v>
      </c>
      <c r="J23" s="35">
        <f t="shared" si="10"/>
        <v>462</v>
      </c>
      <c r="K23" s="35">
        <f t="shared" si="11"/>
        <v>1902</v>
      </c>
      <c r="L23" s="35">
        <f t="shared" si="12"/>
        <v>1228</v>
      </c>
      <c r="M23" s="35">
        <f t="shared" si="13"/>
        <v>617</v>
      </c>
      <c r="N23" s="35">
        <f t="shared" si="14"/>
        <v>278</v>
      </c>
      <c r="O23" s="35">
        <f t="shared" si="15"/>
        <v>206</v>
      </c>
      <c r="P23" s="44">
        <f t="shared" si="16"/>
        <v>40416</v>
      </c>
      <c r="Q23" s="6"/>
      <c r="R23" s="19" t="s">
        <v>3</v>
      </c>
      <c r="S23" s="34">
        <f>C23/16241*100</f>
        <v>5.1782525706545162</v>
      </c>
      <c r="T23" s="34">
        <f>D23/20379*100</f>
        <v>5.7362971686540067</v>
      </c>
      <c r="U23" s="34">
        <f>E23/314600*100</f>
        <v>9.266052129688493</v>
      </c>
      <c r="V23" s="34">
        <f>F23/19556*100</f>
        <v>4.4436490079770916</v>
      </c>
      <c r="W23" s="34">
        <f>G23/42567*100</f>
        <v>3.9138299621772732</v>
      </c>
      <c r="X23" s="34">
        <f>H23/23953*100</f>
        <v>4.5631027428714566</v>
      </c>
      <c r="Y23" s="34">
        <f>I23/21416*100</f>
        <v>4.3612252521479267</v>
      </c>
      <c r="Z23" s="34">
        <f>J23/7160*100</f>
        <v>6.4525139664804474</v>
      </c>
      <c r="AA23" s="34">
        <f>K23/37889*100</f>
        <v>5.0199266277811505</v>
      </c>
      <c r="AB23" s="34">
        <f>L23/20348*100</f>
        <v>6.0349911539217613</v>
      </c>
      <c r="AC23" s="34">
        <f>M23/13666*100</f>
        <v>4.5148543831406407</v>
      </c>
      <c r="AD23" s="34">
        <f>N23/7412*100</f>
        <v>3.7506745817593092</v>
      </c>
      <c r="AE23" s="34">
        <f>O23/6169*100</f>
        <v>3.3392770303128545</v>
      </c>
      <c r="AF23" s="34">
        <f>P23/551356*100</f>
        <v>7.3302911367610042</v>
      </c>
      <c r="AG23" s="34">
        <v>8.1</v>
      </c>
      <c r="AH23" s="6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" customHeight="1" x14ac:dyDescent="0.35">
      <c r="A24" s="6"/>
      <c r="B24" s="18" t="s">
        <v>4</v>
      </c>
      <c r="C24" s="25">
        <f t="shared" si="3"/>
        <v>820</v>
      </c>
      <c r="D24" s="25">
        <f t="shared" si="4"/>
        <v>1139</v>
      </c>
      <c r="E24" s="36">
        <f t="shared" si="5"/>
        <v>28378</v>
      </c>
      <c r="F24" s="25">
        <f t="shared" si="6"/>
        <v>829</v>
      </c>
      <c r="G24" s="25">
        <f t="shared" si="7"/>
        <v>1566</v>
      </c>
      <c r="H24" s="25">
        <f t="shared" si="8"/>
        <v>1083</v>
      </c>
      <c r="I24" s="25">
        <f t="shared" si="9"/>
        <v>905</v>
      </c>
      <c r="J24" s="25">
        <f t="shared" si="10"/>
        <v>460</v>
      </c>
      <c r="K24" s="25">
        <f t="shared" si="11"/>
        <v>1817</v>
      </c>
      <c r="L24" s="25">
        <f t="shared" si="12"/>
        <v>1197</v>
      </c>
      <c r="M24" s="25">
        <f t="shared" si="13"/>
        <v>593</v>
      </c>
      <c r="N24" s="25">
        <f t="shared" si="14"/>
        <v>270</v>
      </c>
      <c r="O24" s="25">
        <f t="shared" si="15"/>
        <v>209</v>
      </c>
      <c r="P24" s="43">
        <f t="shared" si="16"/>
        <v>39266</v>
      </c>
      <c r="Q24" s="6"/>
      <c r="R24" s="18" t="s">
        <v>4</v>
      </c>
      <c r="S24" s="33">
        <f>C24/16220*100</f>
        <v>5.0554870530209621</v>
      </c>
      <c r="T24" s="33">
        <f>D24/20349*100</f>
        <v>5.5973266499582284</v>
      </c>
      <c r="U24" s="33">
        <f>E24/313827*100</f>
        <v>9.0425616661408998</v>
      </c>
      <c r="V24" s="33">
        <f>F24/19516*100</f>
        <v>4.2477966796474691</v>
      </c>
      <c r="W24" s="33">
        <f>G24/42467*100</f>
        <v>3.6875691713565826</v>
      </c>
      <c r="X24" s="33">
        <f>H24/23943*100</f>
        <v>4.523242701415862</v>
      </c>
      <c r="Y24" s="33">
        <f>I24/21387*100</f>
        <v>4.2315425258334507</v>
      </c>
      <c r="Z24" s="33">
        <f>J24/7158*100</f>
        <v>6.4263760827046656</v>
      </c>
      <c r="AA24" s="33">
        <f>K24/37804*100</f>
        <v>4.8063696963284306</v>
      </c>
      <c r="AB24" s="33">
        <f>L24/20317*100</f>
        <v>5.8916178569670716</v>
      </c>
      <c r="AC24" s="33">
        <f>M24/13642*100</f>
        <v>4.3468699604163614</v>
      </c>
      <c r="AD24" s="33">
        <f>N24/7404*100</f>
        <v>3.6466774716369525</v>
      </c>
      <c r="AE24" s="33">
        <f>O24/6172*100</f>
        <v>3.3862605314322747</v>
      </c>
      <c r="AF24" s="33">
        <f>P24/550206*100</f>
        <v>7.1365997462768487</v>
      </c>
      <c r="AG24" s="33">
        <v>7.9</v>
      </c>
      <c r="AH24" s="6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" customHeight="1" x14ac:dyDescent="0.35">
      <c r="A25" s="6"/>
      <c r="B25" s="19" t="s">
        <v>5</v>
      </c>
      <c r="C25" s="35">
        <f t="shared" si="3"/>
        <v>827</v>
      </c>
      <c r="D25" s="35">
        <f t="shared" si="4"/>
        <v>1153</v>
      </c>
      <c r="E25" s="35">
        <f t="shared" si="5"/>
        <v>28107</v>
      </c>
      <c r="F25" s="35">
        <f t="shared" si="6"/>
        <v>825</v>
      </c>
      <c r="G25" s="35">
        <f t="shared" si="7"/>
        <v>1547</v>
      </c>
      <c r="H25" s="35">
        <f t="shared" si="8"/>
        <v>1075</v>
      </c>
      <c r="I25" s="35">
        <f t="shared" si="9"/>
        <v>927</v>
      </c>
      <c r="J25" s="35">
        <f t="shared" si="10"/>
        <v>472</v>
      </c>
      <c r="K25" s="35">
        <f t="shared" si="11"/>
        <v>1835</v>
      </c>
      <c r="L25" s="35">
        <f t="shared" si="12"/>
        <v>1194</v>
      </c>
      <c r="M25" s="35">
        <f t="shared" si="13"/>
        <v>591</v>
      </c>
      <c r="N25" s="35">
        <f t="shared" si="14"/>
        <v>251</v>
      </c>
      <c r="O25" s="35">
        <f t="shared" si="15"/>
        <v>212</v>
      </c>
      <c r="P25" s="44">
        <f t="shared" si="16"/>
        <v>39016</v>
      </c>
      <c r="Q25" s="6"/>
      <c r="R25" s="19" t="s">
        <v>5</v>
      </c>
      <c r="S25" s="34">
        <f>C25/16227*100</f>
        <v>5.0964441979417021</v>
      </c>
      <c r="T25" s="34">
        <f>D25/20363*100</f>
        <v>5.6622305161322002</v>
      </c>
      <c r="U25" s="34">
        <f>E25/313556*100</f>
        <v>8.9639490234599251</v>
      </c>
      <c r="V25" s="34">
        <f>F25/19512*100</f>
        <v>4.2281672816728166</v>
      </c>
      <c r="W25" s="34">
        <f>G25/42448*100</f>
        <v>3.6444591029023745</v>
      </c>
      <c r="X25" s="34">
        <f>H25/23935*100</f>
        <v>4.4913306872780447</v>
      </c>
      <c r="Y25" s="34">
        <f>I25/21409*100</f>
        <v>4.3299546919519827</v>
      </c>
      <c r="Z25" s="34">
        <f>J25/7170*100</f>
        <v>6.5829846582984661</v>
      </c>
      <c r="AA25" s="34">
        <f>K25/37822*100</f>
        <v>4.851673629104754</v>
      </c>
      <c r="AB25" s="34">
        <f>L25/20314*100</f>
        <v>5.8777197991532937</v>
      </c>
      <c r="AC25" s="34">
        <f>M25/13640*100</f>
        <v>4.3328445747800588</v>
      </c>
      <c r="AD25" s="34">
        <f>N25/7385*100</f>
        <v>3.3987813134732563</v>
      </c>
      <c r="AE25" s="34">
        <f>O25/6175*100</f>
        <v>3.4331983805668016</v>
      </c>
      <c r="AF25" s="34">
        <f>P25/549956*100</f>
        <v>7.0943857326767956</v>
      </c>
      <c r="AG25" s="34">
        <v>7.9</v>
      </c>
      <c r="AH25" s="6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" customHeight="1" x14ac:dyDescent="0.35">
      <c r="A26" s="6"/>
      <c r="B26" s="18" t="s">
        <v>6</v>
      </c>
      <c r="C26" s="25">
        <f t="shared" si="3"/>
        <v>803</v>
      </c>
      <c r="D26" s="25">
        <f t="shared" si="4"/>
        <v>1142</v>
      </c>
      <c r="E26" s="36">
        <f t="shared" si="5"/>
        <v>28242</v>
      </c>
      <c r="F26" s="25">
        <f t="shared" si="6"/>
        <v>799</v>
      </c>
      <c r="G26" s="25">
        <f t="shared" si="7"/>
        <v>1565</v>
      </c>
      <c r="H26" s="25">
        <f t="shared" si="8"/>
        <v>1066</v>
      </c>
      <c r="I26" s="25">
        <f t="shared" si="9"/>
        <v>946</v>
      </c>
      <c r="J26" s="25">
        <f t="shared" si="10"/>
        <v>466</v>
      </c>
      <c r="K26" s="25">
        <f t="shared" si="11"/>
        <v>1845</v>
      </c>
      <c r="L26" s="25">
        <f t="shared" si="12"/>
        <v>1234</v>
      </c>
      <c r="M26" s="25">
        <f t="shared" si="13"/>
        <v>609</v>
      </c>
      <c r="N26" s="25">
        <f t="shared" si="14"/>
        <v>246</v>
      </c>
      <c r="O26" s="25">
        <f t="shared" si="15"/>
        <v>218</v>
      </c>
      <c r="P26" s="43">
        <f t="shared" si="16"/>
        <v>39181</v>
      </c>
      <c r="Q26" s="6"/>
      <c r="R26" s="18" t="s">
        <v>6</v>
      </c>
      <c r="S26" s="33">
        <f>C26/16203*100</f>
        <v>4.9558723693143243</v>
      </c>
      <c r="T26" s="33">
        <f>D26/20352*100</f>
        <v>5.6112421383647799</v>
      </c>
      <c r="U26" s="33">
        <f>E26/313691*100</f>
        <v>9.0031272813054883</v>
      </c>
      <c r="V26" s="33">
        <f>F26/19486*100</f>
        <v>4.1003797598275691</v>
      </c>
      <c r="W26" s="33">
        <f>G26/42466*100</f>
        <v>3.6853011821221684</v>
      </c>
      <c r="X26" s="33">
        <f>H26/23926*100</f>
        <v>4.4554041628354097</v>
      </c>
      <c r="Y26" s="33">
        <f>I26/21428*100</f>
        <v>4.4147843942505132</v>
      </c>
      <c r="Z26" s="33">
        <f>J26/7164*100</f>
        <v>6.5047459519821329</v>
      </c>
      <c r="AA26" s="33">
        <f>K26/37832*100</f>
        <v>4.8768238528230068</v>
      </c>
      <c r="AB26" s="33">
        <f>L26/20354*100</f>
        <v>6.0626903802692347</v>
      </c>
      <c r="AC26" s="33">
        <f>M26/13658*100</f>
        <v>4.4589251720603311</v>
      </c>
      <c r="AD26" s="33">
        <f>N26/7380*100</f>
        <v>3.3333333333333335</v>
      </c>
      <c r="AE26" s="33">
        <f>O26/6181*100</f>
        <v>3.5269373887720432</v>
      </c>
      <c r="AF26" s="33">
        <f>P26/550121*100</f>
        <v>7.1222512865351444</v>
      </c>
      <c r="AG26" s="33">
        <v>7.9</v>
      </c>
      <c r="AH26" s="6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" customHeight="1" x14ac:dyDescent="0.35">
      <c r="A27" s="6"/>
      <c r="B27" s="19" t="s">
        <v>7</v>
      </c>
      <c r="C27" s="35">
        <f t="shared" si="3"/>
        <v>779</v>
      </c>
      <c r="D27" s="35">
        <f t="shared" si="4"/>
        <v>1069</v>
      </c>
      <c r="E27" s="35">
        <f>E12+U12</f>
        <v>27490</v>
      </c>
      <c r="F27" s="35">
        <f t="shared" si="6"/>
        <v>767</v>
      </c>
      <c r="G27" s="35">
        <f t="shared" si="7"/>
        <v>1495</v>
      </c>
      <c r="H27" s="35">
        <f t="shared" si="8"/>
        <v>1046</v>
      </c>
      <c r="I27" s="35">
        <f t="shared" si="9"/>
        <v>908</v>
      </c>
      <c r="J27" s="35">
        <f t="shared" si="10"/>
        <v>465</v>
      </c>
      <c r="K27" s="35">
        <f t="shared" si="11"/>
        <v>1755</v>
      </c>
      <c r="L27" s="35">
        <f t="shared" si="12"/>
        <v>1165</v>
      </c>
      <c r="M27" s="35">
        <f t="shared" si="13"/>
        <v>571</v>
      </c>
      <c r="N27" s="35">
        <f t="shared" si="14"/>
        <v>253</v>
      </c>
      <c r="O27" s="35">
        <f t="shared" si="15"/>
        <v>213</v>
      </c>
      <c r="P27" s="44">
        <f t="shared" si="16"/>
        <v>37976</v>
      </c>
      <c r="Q27" s="6"/>
      <c r="R27" s="19" t="s">
        <v>7</v>
      </c>
      <c r="S27" s="34">
        <f>C27/16179*100</f>
        <v>4.8148834909450526</v>
      </c>
      <c r="T27" s="34">
        <f>D27/20279*100</f>
        <v>5.2714630898959518</v>
      </c>
      <c r="U27" s="34">
        <f>E27/312939*100</f>
        <v>8.7844595911663301</v>
      </c>
      <c r="V27" s="34">
        <f>F27/19454*100</f>
        <v>3.9426339056235222</v>
      </c>
      <c r="W27" s="34">
        <f>G27/42396*100</f>
        <v>3.5262760637796022</v>
      </c>
      <c r="X27" s="34">
        <f>H27/23906*100</f>
        <v>4.3754705931565292</v>
      </c>
      <c r="Y27" s="34">
        <f>I27/21390*100</f>
        <v>4.2449742870500229</v>
      </c>
      <c r="Z27" s="34">
        <f>J27/7163*100</f>
        <v>6.49169342454279</v>
      </c>
      <c r="AA27" s="34">
        <f>K27/37742*100</f>
        <v>4.649992051295639</v>
      </c>
      <c r="AB27" s="34">
        <f>L27/20285*100</f>
        <v>5.7431599704214937</v>
      </c>
      <c r="AC27" s="34">
        <f>M27/13620*100</f>
        <v>4.192364170337739</v>
      </c>
      <c r="AD27" s="34">
        <f>N27/7387*100</f>
        <v>3.4249356978475696</v>
      </c>
      <c r="AE27" s="34">
        <f>O27/6176*100</f>
        <v>3.4488341968911915</v>
      </c>
      <c r="AF27" s="34">
        <f>P27/548916*100</f>
        <v>6.9183627367393186</v>
      </c>
      <c r="AG27" s="34">
        <v>7.7</v>
      </c>
      <c r="AH27" s="6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" customHeight="1" x14ac:dyDescent="0.35">
      <c r="A28" s="6"/>
      <c r="B28" s="18" t="s">
        <v>8</v>
      </c>
      <c r="C28" s="25">
        <f t="shared" si="3"/>
        <v>748</v>
      </c>
      <c r="D28" s="25">
        <f t="shared" si="4"/>
        <v>1052</v>
      </c>
      <c r="E28" s="25">
        <f t="shared" ref="E28:E31" si="17">E13+U13</f>
        <v>26320</v>
      </c>
      <c r="F28" s="25">
        <f t="shared" si="6"/>
        <v>710</v>
      </c>
      <c r="G28" s="25">
        <f t="shared" si="7"/>
        <v>1445</v>
      </c>
      <c r="H28" s="25">
        <f t="shared" si="8"/>
        <v>994</v>
      </c>
      <c r="I28" s="25">
        <f t="shared" si="9"/>
        <v>879</v>
      </c>
      <c r="J28" s="25">
        <f t="shared" si="10"/>
        <v>437</v>
      </c>
      <c r="K28" s="25">
        <f t="shared" si="11"/>
        <v>1679</v>
      </c>
      <c r="L28" s="25">
        <f t="shared" si="12"/>
        <v>1105</v>
      </c>
      <c r="M28" s="25">
        <f t="shared" si="13"/>
        <v>555</v>
      </c>
      <c r="N28" s="25">
        <f t="shared" si="14"/>
        <v>229</v>
      </c>
      <c r="O28" s="25">
        <f t="shared" si="15"/>
        <v>198</v>
      </c>
      <c r="P28" s="43">
        <f>SUM(C28:O28)</f>
        <v>36351</v>
      </c>
      <c r="Q28" s="6"/>
      <c r="R28" s="18" t="s">
        <v>8</v>
      </c>
      <c r="S28" s="50">
        <f>C28/16148*100</f>
        <v>4.6321525885558579</v>
      </c>
      <c r="T28" s="50">
        <f>D28/20262*100</f>
        <v>5.1919849965452567</v>
      </c>
      <c r="U28" s="50">
        <f>E28/311769*100</f>
        <v>8.4421478723028915</v>
      </c>
      <c r="V28" s="50">
        <f>F28/19397*100</f>
        <v>3.6603598494612566</v>
      </c>
      <c r="W28" s="50">
        <f>G28/42346*100</f>
        <v>3.4123648042318044</v>
      </c>
      <c r="X28" s="50">
        <f>H28/23854*100</f>
        <v>4.1670160140856876</v>
      </c>
      <c r="Y28" s="50">
        <f>I28/21361*100</f>
        <v>4.1149758906418237</v>
      </c>
      <c r="Z28" s="50">
        <f>J28/7135*100</f>
        <v>6.1247372109320253</v>
      </c>
      <c r="AA28" s="50">
        <f>K28/37666*100</f>
        <v>4.457601019487071</v>
      </c>
      <c r="AB28" s="50">
        <f>L28/20225*100</f>
        <v>5.4635352286773795</v>
      </c>
      <c r="AC28" s="50">
        <f>M28/13604*100</f>
        <v>4.0796824463393122</v>
      </c>
      <c r="AD28" s="50">
        <f>N28/7363*100</f>
        <v>3.1101453212005978</v>
      </c>
      <c r="AE28" s="50">
        <f>O28/6161*100</f>
        <v>3.2137639993507552</v>
      </c>
      <c r="AF28" s="50">
        <f>P28/547291*100</f>
        <v>6.6419875349676865</v>
      </c>
      <c r="AG28" s="33">
        <v>7.5</v>
      </c>
      <c r="AH28" s="6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" customHeight="1" x14ac:dyDescent="0.35">
      <c r="A29" s="6"/>
      <c r="B29" s="19" t="s">
        <v>9</v>
      </c>
      <c r="C29" s="35">
        <f t="shared" si="3"/>
        <v>735</v>
      </c>
      <c r="D29" s="35">
        <f t="shared" si="4"/>
        <v>1029</v>
      </c>
      <c r="E29" s="30">
        <f t="shared" si="17"/>
        <v>25149</v>
      </c>
      <c r="F29" s="35">
        <f t="shared" si="6"/>
        <v>711</v>
      </c>
      <c r="G29" s="30">
        <f t="shared" si="7"/>
        <v>1378</v>
      </c>
      <c r="H29" s="35">
        <f t="shared" si="8"/>
        <v>964</v>
      </c>
      <c r="I29" s="35">
        <f t="shared" si="9"/>
        <v>841</v>
      </c>
      <c r="J29" s="35">
        <f t="shared" si="10"/>
        <v>434</v>
      </c>
      <c r="K29" s="30">
        <f t="shared" si="11"/>
        <v>1630</v>
      </c>
      <c r="L29" s="35">
        <f t="shared" si="12"/>
        <v>1077</v>
      </c>
      <c r="M29" s="35">
        <f t="shared" si="13"/>
        <v>549</v>
      </c>
      <c r="N29" s="35">
        <f t="shared" si="14"/>
        <v>212</v>
      </c>
      <c r="O29" s="35">
        <f t="shared" si="15"/>
        <v>184</v>
      </c>
      <c r="P29" s="49">
        <f>SUM(C29:O29)</f>
        <v>34893</v>
      </c>
      <c r="Q29" s="6"/>
      <c r="R29" s="19" t="s">
        <v>9</v>
      </c>
      <c r="S29" s="41">
        <f>C29/'AK Samtl'!B30*100</f>
        <v>4.5553145336225596</v>
      </c>
      <c r="T29" s="34">
        <f>D29/'AK Samtl'!C30*100</f>
        <v>5.0842432926527996</v>
      </c>
      <c r="U29" s="34">
        <f>E29/'AK Samtl'!D30*100</f>
        <v>8.0969613455334546</v>
      </c>
      <c r="V29" s="34">
        <f>F29/'AK Samtl'!E30*100</f>
        <v>3.6653263223012682</v>
      </c>
      <c r="W29" s="34">
        <f>G29/'AK Samtl'!F30*100</f>
        <v>3.2593013079779563</v>
      </c>
      <c r="X29" s="34">
        <f>H29/'AK Samtl'!G30*100</f>
        <v>4.0463398253861653</v>
      </c>
      <c r="Y29" s="34">
        <f>I29/'AK Samtl'!H30*100</f>
        <v>3.9440979224311778</v>
      </c>
      <c r="Z29" s="34">
        <f>J29/'AK Samtl'!I30*100</f>
        <v>6.085249579360628</v>
      </c>
      <c r="AA29" s="34">
        <f>K29/'AK Samtl'!J30*100</f>
        <v>4.3331472472552308</v>
      </c>
      <c r="AB29" s="34">
        <f>L29/'AK Samtl'!K30*100</f>
        <v>5.332475120067337</v>
      </c>
      <c r="AC29" s="34">
        <f>M29/'AK Samtl'!L30*100</f>
        <v>4.0373584350639797</v>
      </c>
      <c r="AD29" s="34">
        <f>N29/'AK Samtl'!M30*100</f>
        <v>2.8859243125510479</v>
      </c>
      <c r="AE29" s="34">
        <f>O29/'AK Samtl'!N30*100</f>
        <v>2.9933300797136813</v>
      </c>
      <c r="AF29" s="34">
        <f>P29/'AK Samtl'!O30*100</f>
        <v>6.3926145909096732</v>
      </c>
      <c r="AG29" s="34">
        <v>7.3</v>
      </c>
      <c r="AH29" s="6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" customHeight="1" x14ac:dyDescent="0.35">
      <c r="A30" s="6"/>
      <c r="B30" s="18" t="s">
        <v>10</v>
      </c>
      <c r="C30" s="25">
        <f t="shared" si="3"/>
        <v>684</v>
      </c>
      <c r="D30" s="25">
        <f t="shared" si="4"/>
        <v>1012</v>
      </c>
      <c r="E30" s="25">
        <f t="shared" si="17"/>
        <v>24249</v>
      </c>
      <c r="F30" s="25">
        <f t="shared" si="6"/>
        <v>708</v>
      </c>
      <c r="G30" s="25">
        <f>G15+W15</f>
        <v>1327</v>
      </c>
      <c r="H30" s="25">
        <f t="shared" si="8"/>
        <v>930</v>
      </c>
      <c r="I30" s="25">
        <f t="shared" si="9"/>
        <v>782</v>
      </c>
      <c r="J30" s="25">
        <f t="shared" si="10"/>
        <v>436</v>
      </c>
      <c r="K30" s="25">
        <f t="shared" si="11"/>
        <v>1597</v>
      </c>
      <c r="L30" s="25">
        <f t="shared" si="12"/>
        <v>1011</v>
      </c>
      <c r="M30" s="25">
        <f t="shared" si="13"/>
        <v>539</v>
      </c>
      <c r="N30" s="25">
        <f t="shared" si="14"/>
        <v>205</v>
      </c>
      <c r="O30" s="25">
        <f t="shared" si="15"/>
        <v>185</v>
      </c>
      <c r="P30" s="43">
        <f t="shared" si="16"/>
        <v>33665</v>
      </c>
      <c r="Q30" s="6"/>
      <c r="R30" s="18" t="s">
        <v>10</v>
      </c>
      <c r="S30" s="33">
        <f>C30/16084*100</f>
        <v>4.2526734643123598</v>
      </c>
      <c r="T30" s="33">
        <f>D30/20222*100</f>
        <v>5.0044505983582237</v>
      </c>
      <c r="U30" s="33">
        <f>E30/309698*100</f>
        <v>7.8298858888336378</v>
      </c>
      <c r="V30" s="33">
        <f>F30/19395*100</f>
        <v>3.6504253673627223</v>
      </c>
      <c r="W30" s="33">
        <f>G30/42228*100</f>
        <v>3.1424647153547411</v>
      </c>
      <c r="X30" s="33">
        <f>H30/23790*100</f>
        <v>3.9092055485498109</v>
      </c>
      <c r="Y30" s="33">
        <f>I30/21264*100</f>
        <v>3.6775771256583898</v>
      </c>
      <c r="Z30" s="33">
        <f>J30/7134*100</f>
        <v>6.1115783571628821</v>
      </c>
      <c r="AA30" s="33">
        <f>K30/37584*100</f>
        <v>4.2491485738612171</v>
      </c>
      <c r="AB30" s="33">
        <f>L30/20131*100</f>
        <v>5.0221052108688093</v>
      </c>
      <c r="AC30" s="33">
        <f>M30/13588*100</f>
        <v>3.966735354724757</v>
      </c>
      <c r="AD30" s="33">
        <f>N30/7339*100</f>
        <v>2.7932960893854748</v>
      </c>
      <c r="AE30" s="33">
        <f>O30/6148*100</f>
        <v>3.0091086532205593</v>
      </c>
      <c r="AF30" s="33">
        <f>P30/544605*100</f>
        <v>6.1815444221040936</v>
      </c>
      <c r="AG30" s="33">
        <v>7.2</v>
      </c>
      <c r="AH30" s="6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" customHeight="1" x14ac:dyDescent="0.35">
      <c r="A31" s="6"/>
      <c r="B31" s="20" t="s">
        <v>11</v>
      </c>
      <c r="C31" s="42">
        <f t="shared" si="3"/>
        <v>677</v>
      </c>
      <c r="D31" s="42">
        <f t="shared" si="4"/>
        <v>1043</v>
      </c>
      <c r="E31" s="42">
        <f t="shared" si="17"/>
        <v>24076</v>
      </c>
      <c r="F31" s="42">
        <f t="shared" si="6"/>
        <v>702</v>
      </c>
      <c r="G31" s="42">
        <f t="shared" si="7"/>
        <v>1328</v>
      </c>
      <c r="H31" s="42">
        <f t="shared" si="8"/>
        <v>910</v>
      </c>
      <c r="I31" s="42">
        <f t="shared" si="9"/>
        <v>785</v>
      </c>
      <c r="J31" s="42">
        <f t="shared" si="10"/>
        <v>443</v>
      </c>
      <c r="K31" s="42">
        <f t="shared" si="11"/>
        <v>1564</v>
      </c>
      <c r="L31" s="42">
        <f t="shared" si="12"/>
        <v>1011</v>
      </c>
      <c r="M31" s="42">
        <f t="shared" si="13"/>
        <v>540</v>
      </c>
      <c r="N31" s="42">
        <f t="shared" si="14"/>
        <v>219</v>
      </c>
      <c r="O31" s="42">
        <f t="shared" si="15"/>
        <v>199</v>
      </c>
      <c r="P31" s="48">
        <f t="shared" si="16"/>
        <v>33497</v>
      </c>
      <c r="Q31" s="6"/>
      <c r="R31" s="20" t="s">
        <v>11</v>
      </c>
      <c r="S31" s="34">
        <v>4.2</v>
      </c>
      <c r="T31" s="34">
        <v>4.9000000000000004</v>
      </c>
      <c r="U31" s="34">
        <v>7.8</v>
      </c>
      <c r="V31" s="34">
        <v>3.6</v>
      </c>
      <c r="W31" s="34">
        <v>3.1</v>
      </c>
      <c r="X31" s="34">
        <v>3.8</v>
      </c>
      <c r="Y31" s="34">
        <v>3.7</v>
      </c>
      <c r="Z31" s="34">
        <v>6.2</v>
      </c>
      <c r="AA31" s="34">
        <v>4.2</v>
      </c>
      <c r="AB31" s="34">
        <v>5</v>
      </c>
      <c r="AC31" s="34">
        <v>4</v>
      </c>
      <c r="AD31" s="34">
        <v>3</v>
      </c>
      <c r="AE31" s="34">
        <v>3.2</v>
      </c>
      <c r="AF31" s="34">
        <v>6.2</v>
      </c>
      <c r="AG31" s="34">
        <v>7.2</v>
      </c>
      <c r="AH31" s="6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3.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5"/>
      <c r="S32" s="16"/>
      <c r="T32" s="16"/>
      <c r="U32" s="17"/>
      <c r="V32" s="16"/>
      <c r="W32" s="16"/>
      <c r="X32" s="17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3.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5"/>
      <c r="S33" s="16"/>
      <c r="T33" s="16"/>
      <c r="U33" s="17"/>
      <c r="V33" s="16"/>
      <c r="W33" s="16"/>
      <c r="X33" s="1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5"/>
      <c r="T34" s="5"/>
      <c r="U34" s="1"/>
      <c r="V34" s="5"/>
      <c r="W34" s="5"/>
      <c r="X34" s="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5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5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5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5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5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</sheetData>
  <mergeCells count="3">
    <mergeCell ref="B3:P3"/>
    <mergeCell ref="B18:P18"/>
    <mergeCell ref="R3:AF3"/>
  </mergeCells>
  <phoneticPr fontId="0" type="noConversion"/>
  <pageMargins left="0.39370078740157483" right="0.39370078740157483" top="0.39370078740157483" bottom="0.39370078740157483" header="0.51181102362204722" footer="0.51181102362204722"/>
  <pageSetup paperSize="8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2F30F-E961-4886-852A-418F1B456EC2}">
  <dimension ref="A1:O30"/>
  <sheetViews>
    <sheetView workbookViewId="0">
      <selection activeCell="A17" sqref="A17:XFD17"/>
    </sheetView>
  </sheetViews>
  <sheetFormatPr defaultRowHeight="12.5" x14ac:dyDescent="0.25"/>
  <sheetData>
    <row r="1" spans="1:11" x14ac:dyDescent="0.2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</row>
    <row r="2" spans="1:11" x14ac:dyDescent="0.25">
      <c r="A2" t="s">
        <v>12</v>
      </c>
      <c r="B2">
        <v>16355</v>
      </c>
      <c r="C2">
        <v>16330</v>
      </c>
      <c r="D2">
        <v>16296</v>
      </c>
      <c r="E2">
        <v>16241</v>
      </c>
      <c r="F2">
        <v>16220</v>
      </c>
      <c r="G2">
        <v>16227</v>
      </c>
      <c r="H2">
        <v>16203</v>
      </c>
      <c r="I2">
        <v>16179</v>
      </c>
      <c r="J2">
        <v>16148</v>
      </c>
      <c r="K2">
        <v>16135</v>
      </c>
    </row>
    <row r="3" spans="1:11" x14ac:dyDescent="0.25">
      <c r="A3" t="s">
        <v>23</v>
      </c>
      <c r="B3">
        <v>20565</v>
      </c>
      <c r="C3">
        <v>20534</v>
      </c>
      <c r="D3">
        <v>20448</v>
      </c>
      <c r="E3">
        <v>20379</v>
      </c>
      <c r="F3">
        <v>20349</v>
      </c>
      <c r="G3">
        <v>20363</v>
      </c>
      <c r="H3">
        <v>20352</v>
      </c>
      <c r="I3">
        <v>20279</v>
      </c>
      <c r="J3">
        <v>20262</v>
      </c>
      <c r="K3">
        <v>20239</v>
      </c>
    </row>
    <row r="4" spans="1:11" x14ac:dyDescent="0.25">
      <c r="A4" t="s">
        <v>20</v>
      </c>
      <c r="B4">
        <v>316997</v>
      </c>
      <c r="C4">
        <v>316493</v>
      </c>
      <c r="D4">
        <v>315481</v>
      </c>
      <c r="E4">
        <v>314600</v>
      </c>
      <c r="F4">
        <v>313827</v>
      </c>
      <c r="G4">
        <v>313556</v>
      </c>
      <c r="H4">
        <v>313691</v>
      </c>
      <c r="I4">
        <v>312939</v>
      </c>
      <c r="J4">
        <v>311769</v>
      </c>
      <c r="K4">
        <v>310598</v>
      </c>
    </row>
    <row r="5" spans="1:11" x14ac:dyDescent="0.25">
      <c r="A5" t="s">
        <v>13</v>
      </c>
      <c r="B5">
        <v>19679</v>
      </c>
      <c r="C5">
        <v>19648</v>
      </c>
      <c r="D5">
        <v>19596</v>
      </c>
      <c r="E5">
        <v>19556</v>
      </c>
      <c r="F5">
        <v>19516</v>
      </c>
      <c r="G5">
        <v>19512</v>
      </c>
      <c r="H5">
        <v>19486</v>
      </c>
      <c r="I5">
        <v>19454</v>
      </c>
      <c r="J5">
        <v>19397</v>
      </c>
      <c r="K5">
        <v>19398</v>
      </c>
    </row>
    <row r="6" spans="1:11" x14ac:dyDescent="0.25">
      <c r="A6" t="s">
        <v>27</v>
      </c>
      <c r="B6">
        <v>42779</v>
      </c>
      <c r="C6">
        <v>42739</v>
      </c>
      <c r="D6">
        <v>42658</v>
      </c>
      <c r="E6">
        <v>42567</v>
      </c>
      <c r="F6">
        <v>42467</v>
      </c>
      <c r="G6">
        <v>42448</v>
      </c>
      <c r="H6">
        <v>42466</v>
      </c>
      <c r="I6">
        <v>42396</v>
      </c>
      <c r="J6">
        <v>42346</v>
      </c>
      <c r="K6">
        <v>42279</v>
      </c>
    </row>
    <row r="7" spans="1:11" x14ac:dyDescent="0.25">
      <c r="A7" t="s">
        <v>22</v>
      </c>
      <c r="B7">
        <v>24065</v>
      </c>
      <c r="C7">
        <v>24040</v>
      </c>
      <c r="D7">
        <v>24005</v>
      </c>
      <c r="E7">
        <v>23953</v>
      </c>
      <c r="F7">
        <v>23943</v>
      </c>
      <c r="G7">
        <v>23935</v>
      </c>
      <c r="H7">
        <v>23926</v>
      </c>
      <c r="I7">
        <v>23906</v>
      </c>
      <c r="J7">
        <v>23854</v>
      </c>
      <c r="K7">
        <v>23824</v>
      </c>
    </row>
    <row r="8" spans="1:11" x14ac:dyDescent="0.25">
      <c r="A8" t="s">
        <v>18</v>
      </c>
      <c r="B8">
        <v>21558</v>
      </c>
      <c r="C8">
        <v>21544</v>
      </c>
      <c r="D8">
        <v>21455</v>
      </c>
      <c r="E8">
        <v>21416</v>
      </c>
      <c r="F8">
        <v>21387</v>
      </c>
      <c r="G8">
        <v>21409</v>
      </c>
      <c r="H8">
        <v>21428</v>
      </c>
      <c r="I8">
        <v>21390</v>
      </c>
      <c r="J8">
        <v>21361</v>
      </c>
      <c r="K8">
        <v>21323</v>
      </c>
    </row>
    <row r="9" spans="1:11" x14ac:dyDescent="0.25">
      <c r="A9" t="s">
        <v>19</v>
      </c>
      <c r="B9">
        <v>7213</v>
      </c>
      <c r="C9">
        <v>7198</v>
      </c>
      <c r="D9">
        <v>7184</v>
      </c>
      <c r="E9">
        <v>7160</v>
      </c>
      <c r="F9">
        <v>7158</v>
      </c>
      <c r="G9">
        <v>7170</v>
      </c>
      <c r="H9">
        <v>7164</v>
      </c>
      <c r="I9">
        <v>7163</v>
      </c>
      <c r="J9">
        <v>7135</v>
      </c>
      <c r="K9">
        <v>7132</v>
      </c>
    </row>
    <row r="10" spans="1:11" x14ac:dyDescent="0.25">
      <c r="A10" t="s">
        <v>21</v>
      </c>
      <c r="B10">
        <v>38053</v>
      </c>
      <c r="C10">
        <v>38059</v>
      </c>
      <c r="D10">
        <v>37943</v>
      </c>
      <c r="E10">
        <v>37889</v>
      </c>
      <c r="F10">
        <v>37804</v>
      </c>
      <c r="G10">
        <v>37822</v>
      </c>
      <c r="H10">
        <v>37832</v>
      </c>
      <c r="I10">
        <v>37742</v>
      </c>
      <c r="J10">
        <v>37666</v>
      </c>
      <c r="K10">
        <v>37617</v>
      </c>
    </row>
    <row r="11" spans="1:11" x14ac:dyDescent="0.25">
      <c r="A11" t="s">
        <v>14</v>
      </c>
      <c r="B11">
        <v>20428</v>
      </c>
      <c r="C11">
        <v>20406</v>
      </c>
      <c r="D11">
        <v>20375</v>
      </c>
      <c r="E11">
        <v>20348</v>
      </c>
      <c r="F11">
        <v>20317</v>
      </c>
      <c r="G11">
        <v>20314</v>
      </c>
      <c r="H11">
        <v>20354</v>
      </c>
      <c r="I11">
        <v>20285</v>
      </c>
      <c r="J11">
        <v>20225</v>
      </c>
      <c r="K11">
        <v>20197</v>
      </c>
    </row>
    <row r="12" spans="1:11" x14ac:dyDescent="0.25">
      <c r="A12" t="s">
        <v>16</v>
      </c>
      <c r="B12">
        <v>13724</v>
      </c>
      <c r="C12">
        <v>13717</v>
      </c>
      <c r="D12">
        <v>13690</v>
      </c>
      <c r="E12">
        <v>13666</v>
      </c>
      <c r="F12">
        <v>13642</v>
      </c>
      <c r="G12">
        <v>13640</v>
      </c>
      <c r="H12">
        <v>13658</v>
      </c>
      <c r="I12">
        <v>13620</v>
      </c>
      <c r="J12">
        <v>13604</v>
      </c>
      <c r="K12">
        <v>13598</v>
      </c>
    </row>
    <row r="13" spans="1:11" x14ac:dyDescent="0.25">
      <c r="A13" t="s">
        <v>17</v>
      </c>
      <c r="B13">
        <v>7445</v>
      </c>
      <c r="C13">
        <v>7431</v>
      </c>
      <c r="D13">
        <v>7421</v>
      </c>
      <c r="E13">
        <v>7412</v>
      </c>
      <c r="F13">
        <v>7404</v>
      </c>
      <c r="G13">
        <v>7385</v>
      </c>
      <c r="H13">
        <v>7380</v>
      </c>
      <c r="I13">
        <v>7387</v>
      </c>
      <c r="J13">
        <v>7363</v>
      </c>
      <c r="K13">
        <v>7346</v>
      </c>
    </row>
    <row r="14" spans="1:11" x14ac:dyDescent="0.25">
      <c r="A14" t="s">
        <v>15</v>
      </c>
      <c r="B14">
        <v>6195</v>
      </c>
      <c r="C14">
        <v>6184</v>
      </c>
      <c r="D14">
        <v>6173</v>
      </c>
      <c r="E14">
        <v>6169</v>
      </c>
      <c r="F14">
        <v>6172</v>
      </c>
      <c r="G14">
        <v>6175</v>
      </c>
      <c r="H14">
        <v>6181</v>
      </c>
      <c r="I14">
        <v>6176</v>
      </c>
      <c r="J14">
        <v>6161</v>
      </c>
      <c r="K14">
        <v>6147</v>
      </c>
    </row>
    <row r="15" spans="1:11" x14ac:dyDescent="0.25">
      <c r="A15" t="s">
        <v>55</v>
      </c>
      <c r="B15">
        <v>555056</v>
      </c>
      <c r="C15">
        <v>554323</v>
      </c>
      <c r="D15">
        <v>552725</v>
      </c>
      <c r="E15">
        <v>551356</v>
      </c>
      <c r="F15">
        <v>550206</v>
      </c>
      <c r="G15">
        <v>549956</v>
      </c>
      <c r="H15">
        <v>550121</v>
      </c>
      <c r="I15">
        <v>548916</v>
      </c>
      <c r="J15">
        <v>547291</v>
      </c>
      <c r="K15">
        <v>545833</v>
      </c>
    </row>
    <row r="20" spans="1:15" x14ac:dyDescent="0.25">
      <c r="A20" t="s">
        <v>44</v>
      </c>
      <c r="B20" t="s">
        <v>12</v>
      </c>
      <c r="C20" t="s">
        <v>23</v>
      </c>
      <c r="D20" t="s">
        <v>20</v>
      </c>
      <c r="E20" t="s">
        <v>13</v>
      </c>
      <c r="F20" t="s">
        <v>27</v>
      </c>
      <c r="G20" t="s">
        <v>22</v>
      </c>
      <c r="H20" t="s">
        <v>18</v>
      </c>
      <c r="I20" t="s">
        <v>19</v>
      </c>
      <c r="J20" t="s">
        <v>21</v>
      </c>
      <c r="K20" t="s">
        <v>14</v>
      </c>
      <c r="L20" t="s">
        <v>16</v>
      </c>
      <c r="M20" t="s">
        <v>17</v>
      </c>
      <c r="N20" t="s">
        <v>15</v>
      </c>
      <c r="O20" t="s">
        <v>55</v>
      </c>
    </row>
    <row r="21" spans="1:15" x14ac:dyDescent="0.25">
      <c r="A21" t="s">
        <v>45</v>
      </c>
      <c r="B21">
        <v>16355</v>
      </c>
      <c r="C21">
        <v>20565</v>
      </c>
      <c r="D21">
        <v>316997</v>
      </c>
      <c r="E21">
        <v>19679</v>
      </c>
      <c r="F21">
        <v>42779</v>
      </c>
      <c r="G21">
        <v>24065</v>
      </c>
      <c r="H21">
        <v>21558</v>
      </c>
      <c r="I21">
        <v>7213</v>
      </c>
      <c r="J21">
        <v>38053</v>
      </c>
      <c r="K21">
        <v>20428</v>
      </c>
      <c r="L21">
        <v>13724</v>
      </c>
      <c r="M21">
        <v>7445</v>
      </c>
      <c r="N21">
        <v>6195</v>
      </c>
      <c r="O21">
        <v>555056</v>
      </c>
    </row>
    <row r="22" spans="1:15" x14ac:dyDescent="0.25">
      <c r="A22" t="s">
        <v>46</v>
      </c>
      <c r="B22">
        <v>16330</v>
      </c>
      <c r="C22">
        <v>20534</v>
      </c>
      <c r="D22">
        <v>316493</v>
      </c>
      <c r="E22">
        <v>19648</v>
      </c>
      <c r="F22">
        <v>42739</v>
      </c>
      <c r="G22">
        <v>24040</v>
      </c>
      <c r="H22">
        <v>21544</v>
      </c>
      <c r="I22">
        <v>7198</v>
      </c>
      <c r="J22">
        <v>38059</v>
      </c>
      <c r="K22">
        <v>20406</v>
      </c>
      <c r="L22">
        <v>13717</v>
      </c>
      <c r="M22">
        <v>7431</v>
      </c>
      <c r="N22">
        <v>6184</v>
      </c>
      <c r="O22">
        <v>554323</v>
      </c>
    </row>
    <row r="23" spans="1:15" x14ac:dyDescent="0.25">
      <c r="A23" t="s">
        <v>47</v>
      </c>
      <c r="B23">
        <v>16296</v>
      </c>
      <c r="C23">
        <v>20448</v>
      </c>
      <c r="D23">
        <v>315481</v>
      </c>
      <c r="E23">
        <v>19596</v>
      </c>
      <c r="F23">
        <v>42658</v>
      </c>
      <c r="G23">
        <v>24005</v>
      </c>
      <c r="H23">
        <v>21455</v>
      </c>
      <c r="I23">
        <v>7184</v>
      </c>
      <c r="J23">
        <v>37943</v>
      </c>
      <c r="K23">
        <v>20375</v>
      </c>
      <c r="L23">
        <v>13690</v>
      </c>
      <c r="M23">
        <v>7421</v>
      </c>
      <c r="N23">
        <v>6173</v>
      </c>
      <c r="O23">
        <v>552725</v>
      </c>
    </row>
    <row r="24" spans="1:15" x14ac:dyDescent="0.25">
      <c r="A24" t="s">
        <v>48</v>
      </c>
      <c r="B24">
        <v>16241</v>
      </c>
      <c r="C24">
        <v>20379</v>
      </c>
      <c r="D24">
        <v>314600</v>
      </c>
      <c r="E24">
        <v>19556</v>
      </c>
      <c r="F24">
        <v>42567</v>
      </c>
      <c r="G24">
        <v>23953</v>
      </c>
      <c r="H24">
        <v>21416</v>
      </c>
      <c r="I24">
        <v>7160</v>
      </c>
      <c r="J24">
        <v>37889</v>
      </c>
      <c r="K24">
        <v>20348</v>
      </c>
      <c r="L24">
        <v>13666</v>
      </c>
      <c r="M24">
        <v>7412</v>
      </c>
      <c r="N24">
        <v>6169</v>
      </c>
      <c r="O24">
        <v>551356</v>
      </c>
    </row>
    <row r="25" spans="1:15" x14ac:dyDescent="0.25">
      <c r="A25" t="s">
        <v>49</v>
      </c>
      <c r="B25">
        <v>16220</v>
      </c>
      <c r="C25">
        <v>20349</v>
      </c>
      <c r="D25">
        <v>313827</v>
      </c>
      <c r="E25">
        <v>19516</v>
      </c>
      <c r="F25">
        <v>42467</v>
      </c>
      <c r="G25">
        <v>23943</v>
      </c>
      <c r="H25">
        <v>21387</v>
      </c>
      <c r="I25">
        <v>7158</v>
      </c>
      <c r="J25">
        <v>37804</v>
      </c>
      <c r="K25">
        <v>20317</v>
      </c>
      <c r="L25">
        <v>13642</v>
      </c>
      <c r="M25">
        <v>7404</v>
      </c>
      <c r="N25">
        <v>6172</v>
      </c>
      <c r="O25">
        <v>550206</v>
      </c>
    </row>
    <row r="26" spans="1:15" x14ac:dyDescent="0.25">
      <c r="A26" t="s">
        <v>50</v>
      </c>
      <c r="B26">
        <v>16227</v>
      </c>
      <c r="C26">
        <v>20363</v>
      </c>
      <c r="D26">
        <v>313556</v>
      </c>
      <c r="E26">
        <v>19512</v>
      </c>
      <c r="F26">
        <v>42448</v>
      </c>
      <c r="G26">
        <v>23935</v>
      </c>
      <c r="H26">
        <v>21409</v>
      </c>
      <c r="I26">
        <v>7170</v>
      </c>
      <c r="J26">
        <v>37822</v>
      </c>
      <c r="K26">
        <v>20314</v>
      </c>
      <c r="L26">
        <v>13640</v>
      </c>
      <c r="M26">
        <v>7385</v>
      </c>
      <c r="N26">
        <v>6175</v>
      </c>
      <c r="O26">
        <v>549956</v>
      </c>
    </row>
    <row r="27" spans="1:15" x14ac:dyDescent="0.25">
      <c r="A27" t="s">
        <v>51</v>
      </c>
      <c r="B27">
        <v>16203</v>
      </c>
      <c r="C27">
        <v>20352</v>
      </c>
      <c r="D27">
        <v>313691</v>
      </c>
      <c r="E27">
        <v>19486</v>
      </c>
      <c r="F27">
        <v>42466</v>
      </c>
      <c r="G27">
        <v>23926</v>
      </c>
      <c r="H27">
        <v>21428</v>
      </c>
      <c r="I27">
        <v>7164</v>
      </c>
      <c r="J27">
        <v>37832</v>
      </c>
      <c r="K27">
        <v>20354</v>
      </c>
      <c r="L27">
        <v>13658</v>
      </c>
      <c r="M27">
        <v>7380</v>
      </c>
      <c r="N27">
        <v>6181</v>
      </c>
      <c r="O27">
        <v>550121</v>
      </c>
    </row>
    <row r="28" spans="1:15" x14ac:dyDescent="0.25">
      <c r="A28" t="s">
        <v>52</v>
      </c>
      <c r="B28">
        <v>16179</v>
      </c>
      <c r="C28">
        <v>20279</v>
      </c>
      <c r="D28">
        <v>312939</v>
      </c>
      <c r="E28">
        <v>19454</v>
      </c>
      <c r="F28">
        <v>42396</v>
      </c>
      <c r="G28">
        <v>23906</v>
      </c>
      <c r="H28">
        <v>21390</v>
      </c>
      <c r="I28">
        <v>7163</v>
      </c>
      <c r="J28">
        <v>37742</v>
      </c>
      <c r="K28">
        <v>20285</v>
      </c>
      <c r="L28">
        <v>13620</v>
      </c>
      <c r="M28">
        <v>7387</v>
      </c>
      <c r="N28">
        <v>6176</v>
      </c>
      <c r="O28">
        <v>548916</v>
      </c>
    </row>
    <row r="29" spans="1:15" x14ac:dyDescent="0.25">
      <c r="A29" t="s">
        <v>53</v>
      </c>
      <c r="B29">
        <v>16148</v>
      </c>
      <c r="C29">
        <v>20262</v>
      </c>
      <c r="D29">
        <v>311769</v>
      </c>
      <c r="E29">
        <v>19397</v>
      </c>
      <c r="F29">
        <v>42346</v>
      </c>
      <c r="G29">
        <v>23854</v>
      </c>
      <c r="H29">
        <v>21361</v>
      </c>
      <c r="I29">
        <v>7135</v>
      </c>
      <c r="J29">
        <v>37666</v>
      </c>
      <c r="K29">
        <v>20225</v>
      </c>
      <c r="L29">
        <v>13604</v>
      </c>
      <c r="M29">
        <v>7363</v>
      </c>
      <c r="N29">
        <v>6161</v>
      </c>
      <c r="O29">
        <v>547291</v>
      </c>
    </row>
    <row r="30" spans="1:15" x14ac:dyDescent="0.25">
      <c r="A30" t="s">
        <v>54</v>
      </c>
      <c r="B30">
        <v>16135</v>
      </c>
      <c r="C30">
        <v>20239</v>
      </c>
      <c r="D30">
        <v>310598</v>
      </c>
      <c r="E30">
        <v>19398</v>
      </c>
      <c r="F30">
        <v>42279</v>
      </c>
      <c r="G30">
        <v>23824</v>
      </c>
      <c r="H30">
        <v>21323</v>
      </c>
      <c r="I30">
        <v>7132</v>
      </c>
      <c r="J30">
        <v>37617</v>
      </c>
      <c r="K30">
        <v>20197</v>
      </c>
      <c r="L30">
        <v>13598</v>
      </c>
      <c r="M30">
        <v>7346</v>
      </c>
      <c r="N30">
        <v>6147</v>
      </c>
      <c r="O30">
        <v>545833</v>
      </c>
    </row>
  </sheetData>
  <sortState xmlns:xlrd2="http://schemas.microsoft.com/office/spreadsheetml/2017/richdata2" ref="A2:K14">
    <sortCondition ref="A2:A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29"/>
  <sheetViews>
    <sheetView topLeftCell="X1" zoomScale="70" zoomScaleNormal="70" workbookViewId="0">
      <selection activeCell="AH8" sqref="AH8"/>
    </sheetView>
  </sheetViews>
  <sheetFormatPr defaultColWidth="9.1796875" defaultRowHeight="12.5" x14ac:dyDescent="0.25"/>
  <cols>
    <col min="1" max="1" width="9.1796875" style="2"/>
    <col min="2" max="2" width="5.1796875" style="2" customWidth="1"/>
    <col min="3" max="3" width="5.453125" style="2" customWidth="1"/>
    <col min="4" max="4" width="5.81640625" style="2" bestFit="1" customWidth="1"/>
    <col min="5" max="5" width="10" style="2" customWidth="1"/>
    <col min="6" max="6" width="5.1796875" style="2" bestFit="1" customWidth="1"/>
    <col min="7" max="7" width="7.1796875" style="2" bestFit="1" customWidth="1"/>
    <col min="8" max="8" width="5.1796875" style="2" bestFit="1" customWidth="1"/>
    <col min="9" max="9" width="4.1796875" style="2" bestFit="1" customWidth="1"/>
    <col min="10" max="10" width="5.81640625" style="2" bestFit="1" customWidth="1"/>
    <col min="11" max="11" width="5.54296875" style="2" bestFit="1" customWidth="1"/>
    <col min="12" max="12" width="4.81640625" style="2" bestFit="1" customWidth="1"/>
    <col min="13" max="13" width="7.81640625" style="2" customWidth="1"/>
    <col min="14" max="14" width="6.81640625" style="2" customWidth="1"/>
    <col min="15" max="15" width="4.81640625" style="2" bestFit="1" customWidth="1"/>
    <col min="16" max="16" width="8.1796875" style="2" bestFit="1" customWidth="1"/>
    <col min="17" max="17" width="5" style="2" customWidth="1"/>
    <col min="18" max="18" width="4.1796875" style="2" bestFit="1" customWidth="1"/>
    <col min="19" max="20" width="7" style="2" bestFit="1" customWidth="1"/>
    <col min="21" max="21" width="8.1796875" style="2" bestFit="1" customWidth="1"/>
    <col min="22" max="22" width="7" style="2" bestFit="1" customWidth="1"/>
    <col min="23" max="23" width="7.1796875" style="2" bestFit="1" customWidth="1"/>
    <col min="24" max="25" width="7" style="2" bestFit="1" customWidth="1"/>
    <col min="26" max="26" width="6.1796875" style="2" customWidth="1"/>
    <col min="27" max="27" width="5.1796875" style="2" customWidth="1"/>
    <col min="28" max="28" width="8.54296875" style="2" customWidth="1"/>
    <col min="29" max="29" width="7.1796875" style="2" customWidth="1"/>
    <col min="30" max="31" width="7" style="2" bestFit="1" customWidth="1"/>
    <col min="32" max="32" width="8.1796875" style="2" bestFit="1" customWidth="1"/>
    <col min="33" max="33" width="9.81640625" style="2" customWidth="1"/>
    <col min="34" max="36" width="5" style="2" bestFit="1" customWidth="1"/>
    <col min="37" max="16384" width="9.1796875" style="2"/>
  </cols>
  <sheetData>
    <row r="1" spans="1:48" ht="56" customHeight="1" x14ac:dyDescent="0.3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3"/>
      <c r="AO1" s="3"/>
      <c r="AP1" s="3"/>
      <c r="AQ1" s="3"/>
      <c r="AR1" s="3"/>
      <c r="AS1" s="3"/>
      <c r="AT1" s="3"/>
      <c r="AU1" s="3"/>
      <c r="AV1" s="3"/>
    </row>
    <row r="2" spans="1:48" ht="22.25" customHeight="1" x14ac:dyDescent="0.35">
      <c r="A2" s="3"/>
      <c r="B2" s="23" t="s">
        <v>41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3.5" x14ac:dyDescent="0.35">
      <c r="A3" s="3"/>
      <c r="B3" s="51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6"/>
      <c r="R3" s="51" t="s">
        <v>28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6"/>
      <c r="AH3" s="6"/>
      <c r="AI3" s="6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9.75" customHeight="1" x14ac:dyDescent="0.35">
      <c r="A4" s="3"/>
      <c r="B4" s="8"/>
      <c r="C4" s="9" t="s">
        <v>12</v>
      </c>
      <c r="D4" s="9" t="s">
        <v>23</v>
      </c>
      <c r="E4" s="9" t="s">
        <v>20</v>
      </c>
      <c r="F4" s="9" t="s">
        <v>13</v>
      </c>
      <c r="G4" s="9" t="s">
        <v>27</v>
      </c>
      <c r="H4" s="9" t="s">
        <v>22</v>
      </c>
      <c r="I4" s="9" t="s">
        <v>18</v>
      </c>
      <c r="J4" s="9" t="s">
        <v>19</v>
      </c>
      <c r="K4" s="9" t="s">
        <v>21</v>
      </c>
      <c r="L4" s="9" t="s">
        <v>14</v>
      </c>
      <c r="M4" s="9" t="s">
        <v>16</v>
      </c>
      <c r="N4" s="9" t="s">
        <v>17</v>
      </c>
      <c r="O4" s="9" t="s">
        <v>15</v>
      </c>
      <c r="P4" s="9" t="s">
        <v>30</v>
      </c>
      <c r="Q4" s="10"/>
      <c r="R4" s="8"/>
      <c r="S4" s="9" t="s">
        <v>12</v>
      </c>
      <c r="T4" s="9" t="s">
        <v>23</v>
      </c>
      <c r="U4" s="9" t="s">
        <v>20</v>
      </c>
      <c r="V4" s="9" t="s">
        <v>13</v>
      </c>
      <c r="W4" s="9" t="s">
        <v>27</v>
      </c>
      <c r="X4" s="9" t="s">
        <v>22</v>
      </c>
      <c r="Y4" s="9" t="s">
        <v>18</v>
      </c>
      <c r="Z4" s="9" t="s">
        <v>19</v>
      </c>
      <c r="AA4" s="9" t="s">
        <v>21</v>
      </c>
      <c r="AB4" s="9" t="s">
        <v>14</v>
      </c>
      <c r="AC4" s="9" t="s">
        <v>16</v>
      </c>
      <c r="AD4" s="9" t="s">
        <v>17</v>
      </c>
      <c r="AE4" s="9" t="s">
        <v>15</v>
      </c>
      <c r="AF4" s="9" t="s">
        <v>30</v>
      </c>
      <c r="AG4" s="6"/>
      <c r="AH4" s="6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" customHeight="1" x14ac:dyDescent="0.35">
      <c r="A5" s="3"/>
      <c r="B5" s="18" t="s">
        <v>0</v>
      </c>
      <c r="C5" s="24">
        <v>76</v>
      </c>
      <c r="D5" s="25">
        <v>86</v>
      </c>
      <c r="E5" s="26">
        <v>1811</v>
      </c>
      <c r="F5" s="25">
        <v>70</v>
      </c>
      <c r="G5" s="25">
        <v>122</v>
      </c>
      <c r="H5" s="25">
        <v>72</v>
      </c>
      <c r="I5" s="25">
        <v>54</v>
      </c>
      <c r="J5" s="25">
        <v>25</v>
      </c>
      <c r="K5" s="25">
        <v>141</v>
      </c>
      <c r="L5" s="25">
        <v>83</v>
      </c>
      <c r="M5" s="25">
        <v>53</v>
      </c>
      <c r="N5" s="25">
        <v>25</v>
      </c>
      <c r="O5" s="25">
        <v>22</v>
      </c>
      <c r="P5" s="26">
        <f>SUM(C5:O5)</f>
        <v>2640</v>
      </c>
      <c r="Q5" s="11"/>
      <c r="R5" s="18" t="s">
        <v>0</v>
      </c>
      <c r="S5" s="24">
        <v>98</v>
      </c>
      <c r="T5" s="25">
        <v>135</v>
      </c>
      <c r="U5" s="26">
        <v>1742</v>
      </c>
      <c r="V5" s="25">
        <v>59</v>
      </c>
      <c r="W5" s="25">
        <v>148</v>
      </c>
      <c r="X5" s="25">
        <v>101</v>
      </c>
      <c r="Y5" s="25">
        <v>96</v>
      </c>
      <c r="Z5" s="25">
        <v>59</v>
      </c>
      <c r="AA5" s="25">
        <v>101</v>
      </c>
      <c r="AB5" s="25">
        <v>80</v>
      </c>
      <c r="AC5" s="25">
        <v>56</v>
      </c>
      <c r="AD5" s="25">
        <v>25</v>
      </c>
      <c r="AE5" s="25">
        <v>26</v>
      </c>
      <c r="AF5" s="26">
        <f>SUM(S5:AE5)</f>
        <v>2726</v>
      </c>
      <c r="AG5" s="6"/>
      <c r="AH5" s="6"/>
      <c r="AI5" s="6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" customHeight="1" x14ac:dyDescent="0.35">
      <c r="A6" s="3"/>
      <c r="B6" s="18" t="s">
        <v>1</v>
      </c>
      <c r="C6" s="27">
        <v>61</v>
      </c>
      <c r="D6" s="27">
        <v>76</v>
      </c>
      <c r="E6" s="28">
        <v>1747</v>
      </c>
      <c r="F6" s="27">
        <v>63</v>
      </c>
      <c r="G6" s="27">
        <v>108</v>
      </c>
      <c r="H6" s="27">
        <v>74</v>
      </c>
      <c r="I6" s="27">
        <v>58</v>
      </c>
      <c r="J6" s="27">
        <v>30</v>
      </c>
      <c r="K6" s="27">
        <v>149</v>
      </c>
      <c r="L6" s="27">
        <v>76</v>
      </c>
      <c r="M6" s="27">
        <v>45</v>
      </c>
      <c r="N6" s="27">
        <v>21</v>
      </c>
      <c r="O6" s="27">
        <v>18</v>
      </c>
      <c r="P6" s="28">
        <f t="shared" ref="P6:P16" si="0">SUM(C6:O6)</f>
        <v>2526</v>
      </c>
      <c r="Q6" s="11"/>
      <c r="R6" s="18" t="s">
        <v>1</v>
      </c>
      <c r="S6" s="27">
        <v>105</v>
      </c>
      <c r="T6" s="27">
        <v>144</v>
      </c>
      <c r="U6" s="28">
        <v>1802</v>
      </c>
      <c r="V6" s="27">
        <v>55</v>
      </c>
      <c r="W6" s="27">
        <v>141</v>
      </c>
      <c r="X6" s="27">
        <v>98</v>
      </c>
      <c r="Y6" s="27">
        <v>97</v>
      </c>
      <c r="Z6" s="27">
        <v>55</v>
      </c>
      <c r="AA6" s="27">
        <v>104</v>
      </c>
      <c r="AB6" s="27">
        <v>84</v>
      </c>
      <c r="AC6" s="27">
        <v>58</v>
      </c>
      <c r="AD6" s="27">
        <v>28</v>
      </c>
      <c r="AE6" s="27">
        <v>27</v>
      </c>
      <c r="AF6" s="28">
        <f t="shared" ref="AF6:AF16" si="1">SUM(S6:AE6)</f>
        <v>2798</v>
      </c>
      <c r="AG6" s="6"/>
      <c r="AH6" s="6"/>
      <c r="AI6" s="6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2" customHeight="1" x14ac:dyDescent="0.35">
      <c r="A7" s="3"/>
      <c r="B7" s="18" t="s">
        <v>2</v>
      </c>
      <c r="C7" s="24">
        <v>59</v>
      </c>
      <c r="D7" s="25">
        <v>60</v>
      </c>
      <c r="E7" s="26">
        <v>1592</v>
      </c>
      <c r="F7" s="25">
        <v>57</v>
      </c>
      <c r="G7" s="25">
        <v>97</v>
      </c>
      <c r="H7" s="25">
        <v>74</v>
      </c>
      <c r="I7" s="25">
        <v>52</v>
      </c>
      <c r="J7" s="25">
        <v>29</v>
      </c>
      <c r="K7" s="25">
        <v>117</v>
      </c>
      <c r="L7" s="25">
        <v>75</v>
      </c>
      <c r="M7" s="25">
        <v>32</v>
      </c>
      <c r="N7" s="25">
        <v>21</v>
      </c>
      <c r="O7" s="25">
        <v>12</v>
      </c>
      <c r="P7" s="26">
        <f t="shared" si="0"/>
        <v>2277</v>
      </c>
      <c r="Q7" s="11"/>
      <c r="R7" s="18" t="s">
        <v>2</v>
      </c>
      <c r="S7" s="24">
        <v>98</v>
      </c>
      <c r="T7" s="25">
        <v>141</v>
      </c>
      <c r="U7" s="26">
        <v>1812</v>
      </c>
      <c r="V7" s="25">
        <v>45</v>
      </c>
      <c r="W7" s="25">
        <v>138</v>
      </c>
      <c r="X7" s="25">
        <v>107</v>
      </c>
      <c r="Y7" s="25">
        <v>95</v>
      </c>
      <c r="Z7" s="25">
        <v>52</v>
      </c>
      <c r="AA7" s="25">
        <v>108</v>
      </c>
      <c r="AB7" s="25">
        <v>84</v>
      </c>
      <c r="AC7" s="25">
        <v>67</v>
      </c>
      <c r="AD7" s="25">
        <v>28</v>
      </c>
      <c r="AE7" s="25">
        <v>28</v>
      </c>
      <c r="AF7" s="26">
        <f t="shared" si="1"/>
        <v>2803</v>
      </c>
      <c r="AG7" s="6"/>
      <c r="AH7" s="6"/>
      <c r="AI7" s="6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2" customHeight="1" x14ac:dyDescent="0.35">
      <c r="A8" s="3"/>
      <c r="B8" s="18" t="s">
        <v>3</v>
      </c>
      <c r="C8" s="27">
        <v>57</v>
      </c>
      <c r="D8" s="27">
        <v>60</v>
      </c>
      <c r="E8" s="28">
        <v>1427</v>
      </c>
      <c r="F8" s="27">
        <v>51</v>
      </c>
      <c r="G8" s="27">
        <v>90</v>
      </c>
      <c r="H8" s="27">
        <v>65</v>
      </c>
      <c r="I8" s="27">
        <v>44</v>
      </c>
      <c r="J8" s="27">
        <v>16</v>
      </c>
      <c r="K8" s="27">
        <v>113</v>
      </c>
      <c r="L8" s="27">
        <v>66</v>
      </c>
      <c r="M8" s="27">
        <v>28</v>
      </c>
      <c r="N8" s="27">
        <v>19</v>
      </c>
      <c r="O8" s="27">
        <v>9</v>
      </c>
      <c r="P8" s="28">
        <f t="shared" si="0"/>
        <v>2045</v>
      </c>
      <c r="Q8" s="11"/>
      <c r="R8" s="18" t="s">
        <v>3</v>
      </c>
      <c r="S8" s="27">
        <v>86</v>
      </c>
      <c r="T8" s="27">
        <v>127</v>
      </c>
      <c r="U8" s="28">
        <v>1849</v>
      </c>
      <c r="V8" s="27">
        <v>39</v>
      </c>
      <c r="W8" s="27">
        <v>134</v>
      </c>
      <c r="X8" s="27">
        <v>107</v>
      </c>
      <c r="Y8" s="27">
        <v>102</v>
      </c>
      <c r="Z8" s="27">
        <v>54</v>
      </c>
      <c r="AA8" s="27">
        <v>103</v>
      </c>
      <c r="AB8" s="27">
        <v>86</v>
      </c>
      <c r="AC8" s="27">
        <v>66</v>
      </c>
      <c r="AD8" s="27">
        <v>25</v>
      </c>
      <c r="AE8" s="27">
        <v>30</v>
      </c>
      <c r="AF8" s="28">
        <f t="shared" si="1"/>
        <v>2808</v>
      </c>
      <c r="AG8" s="6"/>
      <c r="AH8" s="6"/>
      <c r="AI8" s="6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2" customHeight="1" x14ac:dyDescent="0.35">
      <c r="A9" s="3"/>
      <c r="B9" s="18" t="s">
        <v>4</v>
      </c>
      <c r="C9" s="24">
        <v>49</v>
      </c>
      <c r="D9" s="25">
        <v>55</v>
      </c>
      <c r="E9" s="26">
        <v>1431</v>
      </c>
      <c r="F9" s="25">
        <v>59</v>
      </c>
      <c r="G9" s="25">
        <v>82</v>
      </c>
      <c r="H9" s="25">
        <v>75</v>
      </c>
      <c r="I9" s="25">
        <v>40</v>
      </c>
      <c r="J9" s="25">
        <v>26</v>
      </c>
      <c r="K9" s="25">
        <v>112</v>
      </c>
      <c r="L9" s="25">
        <v>61</v>
      </c>
      <c r="M9" s="25">
        <v>27</v>
      </c>
      <c r="N9" s="25">
        <v>23</v>
      </c>
      <c r="O9" s="25">
        <v>11</v>
      </c>
      <c r="P9" s="26">
        <f t="shared" si="0"/>
        <v>2051</v>
      </c>
      <c r="Q9" s="11"/>
      <c r="R9" s="18" t="s">
        <v>4</v>
      </c>
      <c r="S9" s="24">
        <v>88</v>
      </c>
      <c r="T9" s="25">
        <v>116</v>
      </c>
      <c r="U9" s="26">
        <v>1779</v>
      </c>
      <c r="V9" s="25">
        <v>38</v>
      </c>
      <c r="W9" s="25">
        <v>126</v>
      </c>
      <c r="X9" s="25">
        <v>102</v>
      </c>
      <c r="Y9" s="25">
        <v>99</v>
      </c>
      <c r="Z9" s="25">
        <v>48</v>
      </c>
      <c r="AA9" s="25">
        <v>99</v>
      </c>
      <c r="AB9" s="25">
        <v>91</v>
      </c>
      <c r="AC9" s="25">
        <v>63</v>
      </c>
      <c r="AD9" s="25">
        <v>22</v>
      </c>
      <c r="AE9" s="25">
        <v>30</v>
      </c>
      <c r="AF9" s="26">
        <f t="shared" si="1"/>
        <v>2701</v>
      </c>
      <c r="AG9" s="6"/>
      <c r="AH9" s="6"/>
      <c r="AI9" s="6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2" customHeight="1" x14ac:dyDescent="0.35">
      <c r="A10" s="3"/>
      <c r="B10" s="18" t="s">
        <v>5</v>
      </c>
      <c r="C10" s="27">
        <v>69</v>
      </c>
      <c r="D10" s="27">
        <v>55</v>
      </c>
      <c r="E10" s="28">
        <v>1678</v>
      </c>
      <c r="F10" s="27">
        <v>73</v>
      </c>
      <c r="G10" s="27">
        <v>115</v>
      </c>
      <c r="H10" s="27">
        <v>78</v>
      </c>
      <c r="I10" s="27">
        <v>53</v>
      </c>
      <c r="J10" s="27">
        <v>40</v>
      </c>
      <c r="K10" s="27">
        <v>133</v>
      </c>
      <c r="L10" s="27">
        <v>73</v>
      </c>
      <c r="M10" s="27">
        <v>45</v>
      </c>
      <c r="N10" s="27">
        <v>23</v>
      </c>
      <c r="O10" s="27">
        <v>12</v>
      </c>
      <c r="P10" s="28">
        <f t="shared" si="0"/>
        <v>2447</v>
      </c>
      <c r="Q10" s="11"/>
      <c r="R10" s="18" t="s">
        <v>5</v>
      </c>
      <c r="S10" s="27">
        <v>87</v>
      </c>
      <c r="T10" s="27">
        <v>106</v>
      </c>
      <c r="U10" s="28">
        <v>1659</v>
      </c>
      <c r="V10" s="27">
        <v>36</v>
      </c>
      <c r="W10" s="27">
        <v>109</v>
      </c>
      <c r="X10" s="27">
        <v>97</v>
      </c>
      <c r="Y10" s="27">
        <v>90</v>
      </c>
      <c r="Z10" s="27">
        <v>46</v>
      </c>
      <c r="AA10" s="27">
        <v>92</v>
      </c>
      <c r="AB10" s="27">
        <v>90</v>
      </c>
      <c r="AC10" s="27">
        <v>57</v>
      </c>
      <c r="AD10" s="27">
        <v>21</v>
      </c>
      <c r="AE10" s="27">
        <v>29</v>
      </c>
      <c r="AF10" s="28">
        <f t="shared" si="1"/>
        <v>2519</v>
      </c>
      <c r="AG10" s="6"/>
      <c r="AH10" s="6"/>
      <c r="AI10" s="6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2" customHeight="1" x14ac:dyDescent="0.35">
      <c r="A11" s="3"/>
      <c r="B11" s="18" t="s">
        <v>6</v>
      </c>
      <c r="C11" s="24">
        <v>76</v>
      </c>
      <c r="D11" s="25">
        <v>72</v>
      </c>
      <c r="E11" s="26">
        <v>1742</v>
      </c>
      <c r="F11" s="25">
        <v>72</v>
      </c>
      <c r="G11" s="25">
        <v>123</v>
      </c>
      <c r="H11" s="25">
        <v>85</v>
      </c>
      <c r="I11" s="25">
        <v>58</v>
      </c>
      <c r="J11" s="25">
        <v>40</v>
      </c>
      <c r="K11" s="25">
        <v>130</v>
      </c>
      <c r="L11" s="25">
        <v>76</v>
      </c>
      <c r="M11" s="25">
        <v>38</v>
      </c>
      <c r="N11" s="25">
        <v>21</v>
      </c>
      <c r="O11" s="25">
        <v>13</v>
      </c>
      <c r="P11" s="26">
        <f t="shared" si="0"/>
        <v>2546</v>
      </c>
      <c r="Q11" s="11"/>
      <c r="R11" s="18" t="s">
        <v>6</v>
      </c>
      <c r="S11" s="24">
        <v>71</v>
      </c>
      <c r="T11" s="25">
        <v>99</v>
      </c>
      <c r="U11" s="26">
        <v>1603</v>
      </c>
      <c r="V11" s="25">
        <v>37</v>
      </c>
      <c r="W11" s="25">
        <v>98</v>
      </c>
      <c r="X11" s="25">
        <v>92</v>
      </c>
      <c r="Y11" s="25">
        <v>93</v>
      </c>
      <c r="Z11" s="25">
        <v>49</v>
      </c>
      <c r="AA11" s="25">
        <v>85</v>
      </c>
      <c r="AB11" s="25">
        <v>87</v>
      </c>
      <c r="AC11" s="25">
        <v>57</v>
      </c>
      <c r="AD11" s="25">
        <v>18</v>
      </c>
      <c r="AE11" s="25">
        <v>29</v>
      </c>
      <c r="AF11" s="26">
        <f t="shared" si="1"/>
        <v>2418</v>
      </c>
      <c r="AG11" s="6"/>
      <c r="AH11" s="6"/>
      <c r="AI11" s="6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2" customHeight="1" x14ac:dyDescent="0.35">
      <c r="A12" s="3"/>
      <c r="B12" s="18" t="s">
        <v>7</v>
      </c>
      <c r="C12" s="27">
        <v>77</v>
      </c>
      <c r="D12" s="27">
        <v>61</v>
      </c>
      <c r="E12" s="28">
        <v>1746</v>
      </c>
      <c r="F12" s="27">
        <v>65</v>
      </c>
      <c r="G12" s="27">
        <v>134</v>
      </c>
      <c r="H12" s="27">
        <v>75</v>
      </c>
      <c r="I12" s="27">
        <v>57</v>
      </c>
      <c r="J12" s="27">
        <v>46</v>
      </c>
      <c r="K12" s="27">
        <v>128</v>
      </c>
      <c r="L12" s="27">
        <v>75</v>
      </c>
      <c r="M12" s="27">
        <v>39</v>
      </c>
      <c r="N12" s="27">
        <v>15</v>
      </c>
      <c r="O12" s="27">
        <v>18</v>
      </c>
      <c r="P12" s="28">
        <f t="shared" si="0"/>
        <v>2536</v>
      </c>
      <c r="Q12" s="11"/>
      <c r="R12" s="18" t="s">
        <v>7</v>
      </c>
      <c r="S12" s="27">
        <v>60</v>
      </c>
      <c r="T12" s="27">
        <v>102</v>
      </c>
      <c r="U12" s="28">
        <v>1496</v>
      </c>
      <c r="V12" s="27">
        <v>38</v>
      </c>
      <c r="W12" s="27">
        <v>87</v>
      </c>
      <c r="X12" s="27">
        <v>92</v>
      </c>
      <c r="Y12" s="27">
        <v>91</v>
      </c>
      <c r="Z12" s="27">
        <v>38</v>
      </c>
      <c r="AA12" s="27">
        <v>79</v>
      </c>
      <c r="AB12" s="27">
        <v>79</v>
      </c>
      <c r="AC12" s="27">
        <v>47</v>
      </c>
      <c r="AD12" s="27">
        <v>21</v>
      </c>
      <c r="AE12" s="27">
        <v>28</v>
      </c>
      <c r="AF12" s="28">
        <f t="shared" si="1"/>
        <v>2258</v>
      </c>
      <c r="AG12" s="6"/>
      <c r="AH12" s="6"/>
      <c r="AI12" s="6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2" customHeight="1" x14ac:dyDescent="0.35">
      <c r="A13" s="3"/>
      <c r="B13" s="18" t="s">
        <v>8</v>
      </c>
      <c r="C13" s="24">
        <v>58</v>
      </c>
      <c r="D13" s="25">
        <v>69</v>
      </c>
      <c r="E13" s="26">
        <v>1482</v>
      </c>
      <c r="F13" s="25">
        <v>52</v>
      </c>
      <c r="G13" s="25">
        <v>122</v>
      </c>
      <c r="H13" s="24">
        <v>66</v>
      </c>
      <c r="I13" s="25">
        <v>58</v>
      </c>
      <c r="J13" s="25">
        <v>30</v>
      </c>
      <c r="K13" s="25">
        <v>118</v>
      </c>
      <c r="L13" s="25">
        <v>71</v>
      </c>
      <c r="M13" s="25">
        <v>33</v>
      </c>
      <c r="N13" s="25">
        <v>7</v>
      </c>
      <c r="O13" s="25">
        <v>11</v>
      </c>
      <c r="P13" s="26">
        <f t="shared" si="0"/>
        <v>2177</v>
      </c>
      <c r="Q13" s="11"/>
      <c r="R13" s="18" t="s">
        <v>8</v>
      </c>
      <c r="S13" s="24">
        <v>61</v>
      </c>
      <c r="T13" s="25">
        <v>97</v>
      </c>
      <c r="U13" s="26">
        <v>1499</v>
      </c>
      <c r="V13" s="25">
        <v>39</v>
      </c>
      <c r="W13" s="25">
        <v>89</v>
      </c>
      <c r="X13" s="24">
        <v>85</v>
      </c>
      <c r="Y13" s="25">
        <v>76</v>
      </c>
      <c r="Z13" s="25">
        <v>48</v>
      </c>
      <c r="AA13" s="25">
        <v>84</v>
      </c>
      <c r="AB13" s="25">
        <v>69</v>
      </c>
      <c r="AC13" s="25">
        <v>54</v>
      </c>
      <c r="AD13" s="25">
        <v>19</v>
      </c>
      <c r="AE13" s="25">
        <v>27</v>
      </c>
      <c r="AF13" s="26">
        <f t="shared" si="1"/>
        <v>2247</v>
      </c>
      <c r="AG13" s="6"/>
      <c r="AH13" s="6"/>
      <c r="AI13" s="6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2" customHeight="1" x14ac:dyDescent="0.35">
      <c r="A14" s="3"/>
      <c r="B14" s="18" t="s">
        <v>9</v>
      </c>
      <c r="C14" s="27">
        <v>51</v>
      </c>
      <c r="D14" s="27">
        <v>63</v>
      </c>
      <c r="E14" s="28">
        <v>1342</v>
      </c>
      <c r="F14" s="27">
        <v>49</v>
      </c>
      <c r="G14" s="27">
        <v>89</v>
      </c>
      <c r="H14" s="27">
        <v>60</v>
      </c>
      <c r="I14" s="27">
        <v>58</v>
      </c>
      <c r="J14" s="27">
        <v>23</v>
      </c>
      <c r="K14" s="27">
        <v>118</v>
      </c>
      <c r="L14" s="27">
        <v>62</v>
      </c>
      <c r="M14" s="27">
        <v>36</v>
      </c>
      <c r="N14" s="27">
        <v>8</v>
      </c>
      <c r="O14" s="27">
        <v>8</v>
      </c>
      <c r="P14" s="28">
        <f t="shared" si="0"/>
        <v>1967</v>
      </c>
      <c r="Q14" s="11"/>
      <c r="R14" s="18" t="s">
        <v>9</v>
      </c>
      <c r="S14" s="27">
        <v>58</v>
      </c>
      <c r="T14" s="27">
        <v>100</v>
      </c>
      <c r="U14" s="28">
        <v>1404</v>
      </c>
      <c r="V14" s="27">
        <v>34</v>
      </c>
      <c r="W14" s="27">
        <v>92</v>
      </c>
      <c r="X14" s="27">
        <v>81</v>
      </c>
      <c r="Y14" s="27">
        <v>73</v>
      </c>
      <c r="Z14" s="27">
        <v>44</v>
      </c>
      <c r="AA14" s="27">
        <v>76</v>
      </c>
      <c r="AB14" s="27">
        <v>73</v>
      </c>
      <c r="AC14" s="27">
        <v>57</v>
      </c>
      <c r="AD14" s="27">
        <v>18</v>
      </c>
      <c r="AE14" s="27">
        <v>22</v>
      </c>
      <c r="AF14" s="28">
        <f t="shared" si="1"/>
        <v>2132</v>
      </c>
      <c r="AG14" s="6"/>
      <c r="AH14" s="6"/>
      <c r="AI14" s="6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2" customHeight="1" x14ac:dyDescent="0.35">
      <c r="A15" s="3"/>
      <c r="B15" s="18" t="s">
        <v>10</v>
      </c>
      <c r="C15" s="24">
        <v>43</v>
      </c>
      <c r="D15" s="25">
        <v>52</v>
      </c>
      <c r="E15" s="26">
        <v>1092</v>
      </c>
      <c r="F15" s="25">
        <v>34</v>
      </c>
      <c r="G15" s="25">
        <v>73</v>
      </c>
      <c r="H15" s="25">
        <v>56</v>
      </c>
      <c r="I15" s="25">
        <v>43</v>
      </c>
      <c r="J15" s="25">
        <v>24</v>
      </c>
      <c r="K15" s="25">
        <v>98</v>
      </c>
      <c r="L15" s="25">
        <v>56</v>
      </c>
      <c r="M15" s="25">
        <v>31</v>
      </c>
      <c r="N15" s="25">
        <v>14</v>
      </c>
      <c r="O15" s="25">
        <v>9</v>
      </c>
      <c r="P15" s="26">
        <f t="shared" si="0"/>
        <v>1625</v>
      </c>
      <c r="Q15" s="11"/>
      <c r="R15" s="18" t="s">
        <v>10</v>
      </c>
      <c r="S15" s="24">
        <v>51</v>
      </c>
      <c r="T15" s="25">
        <v>97</v>
      </c>
      <c r="U15" s="26">
        <v>1362</v>
      </c>
      <c r="V15" s="25">
        <v>32</v>
      </c>
      <c r="W15" s="25">
        <v>88</v>
      </c>
      <c r="X15" s="25">
        <v>82</v>
      </c>
      <c r="Y15" s="25">
        <v>68</v>
      </c>
      <c r="Z15" s="25">
        <v>40</v>
      </c>
      <c r="AA15" s="25">
        <v>69</v>
      </c>
      <c r="AB15" s="25">
        <v>66</v>
      </c>
      <c r="AC15" s="25">
        <v>56</v>
      </c>
      <c r="AD15" s="25">
        <v>15</v>
      </c>
      <c r="AE15" s="25">
        <v>20</v>
      </c>
      <c r="AF15" s="26">
        <f t="shared" si="1"/>
        <v>2046</v>
      </c>
      <c r="AG15" s="6"/>
      <c r="AH15" s="6"/>
      <c r="AI15" s="6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2" customHeight="1" x14ac:dyDescent="0.35">
      <c r="A16" s="3"/>
      <c r="B16" s="21" t="s">
        <v>11</v>
      </c>
      <c r="C16" s="31">
        <v>45</v>
      </c>
      <c r="D16" s="31">
        <v>61</v>
      </c>
      <c r="E16" s="32">
        <v>1036</v>
      </c>
      <c r="F16" s="31">
        <v>47</v>
      </c>
      <c r="G16" s="31">
        <v>73</v>
      </c>
      <c r="H16" s="31">
        <v>48</v>
      </c>
      <c r="I16" s="31">
        <v>40</v>
      </c>
      <c r="J16" s="31">
        <v>21</v>
      </c>
      <c r="K16" s="31">
        <v>85</v>
      </c>
      <c r="L16" s="31">
        <v>53</v>
      </c>
      <c r="M16" s="31">
        <v>26</v>
      </c>
      <c r="N16" s="31">
        <v>16</v>
      </c>
      <c r="O16" s="31">
        <v>13</v>
      </c>
      <c r="P16" s="32">
        <f t="shared" si="0"/>
        <v>1564</v>
      </c>
      <c r="Q16" s="11"/>
      <c r="R16" s="21" t="s">
        <v>11</v>
      </c>
      <c r="S16" s="31">
        <v>45</v>
      </c>
      <c r="T16" s="31">
        <v>98</v>
      </c>
      <c r="U16" s="32">
        <v>1313</v>
      </c>
      <c r="V16" s="31">
        <v>28</v>
      </c>
      <c r="W16" s="31">
        <v>85</v>
      </c>
      <c r="X16" s="31">
        <v>73</v>
      </c>
      <c r="Y16" s="31">
        <v>66</v>
      </c>
      <c r="Z16" s="31">
        <v>36</v>
      </c>
      <c r="AA16" s="31">
        <v>69</v>
      </c>
      <c r="AB16" s="31">
        <v>73</v>
      </c>
      <c r="AC16" s="31">
        <v>57</v>
      </c>
      <c r="AD16" s="31">
        <v>16</v>
      </c>
      <c r="AE16" s="31">
        <v>21</v>
      </c>
      <c r="AF16" s="32">
        <f t="shared" si="1"/>
        <v>1980</v>
      </c>
      <c r="AG16" s="6"/>
      <c r="AH16" s="6"/>
      <c r="AI16" s="6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6.75" customHeight="1" x14ac:dyDescent="0.3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6"/>
      <c r="AG17" s="6"/>
      <c r="AH17" s="6"/>
      <c r="AI17" s="6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3.5" customHeight="1" x14ac:dyDescent="0.35">
      <c r="A18" s="3"/>
      <c r="B18" s="51" t="s">
        <v>29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11"/>
      <c r="R18" s="22" t="s">
        <v>31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/>
      <c r="AI18" s="6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9.75" customHeight="1" x14ac:dyDescent="0.35">
      <c r="A19" s="3"/>
      <c r="B19" s="8"/>
      <c r="C19" s="9" t="s">
        <v>12</v>
      </c>
      <c r="D19" s="9" t="s">
        <v>23</v>
      </c>
      <c r="E19" s="9" t="s">
        <v>20</v>
      </c>
      <c r="F19" s="9" t="s">
        <v>13</v>
      </c>
      <c r="G19" s="9" t="s">
        <v>27</v>
      </c>
      <c r="H19" s="9" t="s">
        <v>22</v>
      </c>
      <c r="I19" s="9" t="s">
        <v>18</v>
      </c>
      <c r="J19" s="9" t="s">
        <v>19</v>
      </c>
      <c r="K19" s="9" t="s">
        <v>21</v>
      </c>
      <c r="L19" s="9" t="s">
        <v>14</v>
      </c>
      <c r="M19" s="9" t="s">
        <v>16</v>
      </c>
      <c r="N19" s="9" t="s">
        <v>17</v>
      </c>
      <c r="O19" s="9" t="s">
        <v>15</v>
      </c>
      <c r="P19" s="9" t="s">
        <v>30</v>
      </c>
      <c r="Q19" s="6"/>
      <c r="R19" s="8"/>
      <c r="S19" s="9" t="s">
        <v>12</v>
      </c>
      <c r="T19" s="9" t="s">
        <v>23</v>
      </c>
      <c r="U19" s="9" t="s">
        <v>20</v>
      </c>
      <c r="V19" s="9" t="s">
        <v>13</v>
      </c>
      <c r="W19" s="9" t="s">
        <v>27</v>
      </c>
      <c r="X19" s="9" t="s">
        <v>22</v>
      </c>
      <c r="Y19" s="9" t="s">
        <v>18</v>
      </c>
      <c r="Z19" s="9" t="s">
        <v>19</v>
      </c>
      <c r="AA19" s="9" t="s">
        <v>21</v>
      </c>
      <c r="AB19" s="9" t="s">
        <v>14</v>
      </c>
      <c r="AC19" s="9" t="s">
        <v>16</v>
      </c>
      <c r="AD19" s="9" t="s">
        <v>17</v>
      </c>
      <c r="AE19" s="9" t="s">
        <v>15</v>
      </c>
      <c r="AF19" s="9" t="s">
        <v>39</v>
      </c>
      <c r="AG19" s="9" t="s">
        <v>26</v>
      </c>
      <c r="AH19" s="6"/>
      <c r="AI19" s="6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" customHeight="1" x14ac:dyDescent="0.35">
      <c r="A20" s="3"/>
      <c r="B20" s="18" t="s">
        <v>0</v>
      </c>
      <c r="C20" s="24">
        <f>C5+S5</f>
        <v>174</v>
      </c>
      <c r="D20" s="25">
        <f t="shared" ref="D20:O20" si="2">D5+T5</f>
        <v>221</v>
      </c>
      <c r="E20" s="25">
        <f t="shared" si="2"/>
        <v>3553</v>
      </c>
      <c r="F20" s="25">
        <f t="shared" si="2"/>
        <v>129</v>
      </c>
      <c r="G20" s="25">
        <f t="shared" si="2"/>
        <v>270</v>
      </c>
      <c r="H20" s="25">
        <f t="shared" si="2"/>
        <v>173</v>
      </c>
      <c r="I20" s="25">
        <f t="shared" si="2"/>
        <v>150</v>
      </c>
      <c r="J20" s="25">
        <f t="shared" si="2"/>
        <v>84</v>
      </c>
      <c r="K20" s="25">
        <f t="shared" si="2"/>
        <v>242</v>
      </c>
      <c r="L20" s="25">
        <f t="shared" si="2"/>
        <v>163</v>
      </c>
      <c r="M20" s="25">
        <f t="shared" si="2"/>
        <v>109</v>
      </c>
      <c r="N20" s="25">
        <f t="shared" si="2"/>
        <v>50</v>
      </c>
      <c r="O20" s="25">
        <f t="shared" si="2"/>
        <v>48</v>
      </c>
      <c r="P20" s="26">
        <f>SUM(C20:O20)</f>
        <v>5366</v>
      </c>
      <c r="Q20" s="6"/>
      <c r="R20" s="18" t="s">
        <v>0</v>
      </c>
      <c r="S20" s="33">
        <f>C20/1658*100</f>
        <v>10.494571773220748</v>
      </c>
      <c r="T20" s="33">
        <f>D20/2200*100</f>
        <v>10.045454545454545</v>
      </c>
      <c r="U20" s="33">
        <f>E20/31600*100</f>
        <v>11.243670886075948</v>
      </c>
      <c r="V20" s="33">
        <f>F20/1725*100</f>
        <v>7.4782608695652177</v>
      </c>
      <c r="W20" s="33">
        <f>G20/4263*100</f>
        <v>6.3335679099225901</v>
      </c>
      <c r="X20" s="33">
        <f>H20/2441*100</f>
        <v>7.0872593199508396</v>
      </c>
      <c r="Y20" s="33">
        <f>I20/1951*100</f>
        <v>7.6883649410558679</v>
      </c>
      <c r="Z20" s="33">
        <f>J20/723*100</f>
        <v>11.618257261410788</v>
      </c>
      <c r="AA20" s="33">
        <f>K20/3566*100</f>
        <v>6.7863151991026358</v>
      </c>
      <c r="AB20" s="33">
        <f>L20/1969*100</f>
        <v>8.2783138649060444</v>
      </c>
      <c r="AC20" s="33">
        <f>M20/1423*100</f>
        <v>7.6598735066760364</v>
      </c>
      <c r="AD20" s="33">
        <f>N20/638*100</f>
        <v>7.8369905956112857</v>
      </c>
      <c r="AE20" s="33">
        <f>O20/662*100</f>
        <v>7.2507552870090644</v>
      </c>
      <c r="AF20" s="33">
        <f>P20/54819*100</f>
        <v>9.7885769532461371</v>
      </c>
      <c r="AG20" s="33">
        <v>11.8</v>
      </c>
      <c r="AH20" s="6"/>
      <c r="AI20" s="6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" customHeight="1" x14ac:dyDescent="0.35">
      <c r="A21" s="3"/>
      <c r="B21" s="18" t="s">
        <v>1</v>
      </c>
      <c r="C21" s="27">
        <f t="shared" ref="C21:E30" si="3">C6+S6</f>
        <v>166</v>
      </c>
      <c r="D21" s="27">
        <f t="shared" si="3"/>
        <v>220</v>
      </c>
      <c r="E21" s="27">
        <f t="shared" si="3"/>
        <v>3549</v>
      </c>
      <c r="F21" s="27">
        <f t="shared" ref="F21:O30" si="4">F6+V6</f>
        <v>118</v>
      </c>
      <c r="G21" s="27">
        <f t="shared" si="4"/>
        <v>249</v>
      </c>
      <c r="H21" s="27">
        <f t="shared" si="4"/>
        <v>172</v>
      </c>
      <c r="I21" s="27">
        <f t="shared" si="4"/>
        <v>155</v>
      </c>
      <c r="J21" s="27">
        <f t="shared" si="4"/>
        <v>85</v>
      </c>
      <c r="K21" s="27">
        <f t="shared" si="4"/>
        <v>253</v>
      </c>
      <c r="L21" s="27">
        <f t="shared" si="4"/>
        <v>160</v>
      </c>
      <c r="M21" s="27">
        <f t="shared" si="4"/>
        <v>103</v>
      </c>
      <c r="N21" s="27">
        <f t="shared" si="4"/>
        <v>49</v>
      </c>
      <c r="O21" s="27">
        <f t="shared" si="4"/>
        <v>45</v>
      </c>
      <c r="P21" s="28">
        <f t="shared" ref="P21:P30" si="5">SUM(C21:O21)</f>
        <v>5324</v>
      </c>
      <c r="Q21" s="6"/>
      <c r="R21" s="18" t="s">
        <v>1</v>
      </c>
      <c r="S21" s="34">
        <f>C21/1650*100</f>
        <v>10.060606060606061</v>
      </c>
      <c r="T21" s="34">
        <f>D21/2199*100</f>
        <v>10.004547521600728</v>
      </c>
      <c r="U21" s="34">
        <f>E21/31596*100</f>
        <v>11.232434485377896</v>
      </c>
      <c r="V21" s="34">
        <f>F21/1714*100</f>
        <v>6.8844807467911311</v>
      </c>
      <c r="W21" s="34">
        <f>G21/4242*100</f>
        <v>5.8698727015558703</v>
      </c>
      <c r="X21" s="34">
        <f>H21/2440*100</f>
        <v>7.0491803278688518</v>
      </c>
      <c r="Y21" s="34">
        <f>I21/1956*100</f>
        <v>7.9243353783231081</v>
      </c>
      <c r="Z21" s="34">
        <f>J21/724*100</f>
        <v>11.740331491712707</v>
      </c>
      <c r="AA21" s="34">
        <f>K21/3544*100</f>
        <v>7.1388261851015811</v>
      </c>
      <c r="AB21" s="34">
        <f>L21/1966*100</f>
        <v>8.1383519837232967</v>
      </c>
      <c r="AC21" s="34">
        <f>M21/1417*100</f>
        <v>7.2688779110797466</v>
      </c>
      <c r="AD21" s="34">
        <f>N21/637*100</f>
        <v>7.6923076923076925</v>
      </c>
      <c r="AE21" s="34">
        <f>O21/659*100</f>
        <v>6.8285280728376323</v>
      </c>
      <c r="AF21" s="34">
        <f>P21/54777*100</f>
        <v>9.7194077806378587</v>
      </c>
      <c r="AG21" s="34">
        <v>11.6</v>
      </c>
      <c r="AH21" s="6"/>
      <c r="AI21" s="6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" customHeight="1" x14ac:dyDescent="0.35">
      <c r="A22" s="3"/>
      <c r="B22" s="18" t="s">
        <v>2</v>
      </c>
      <c r="C22" s="24">
        <f t="shared" si="3"/>
        <v>157</v>
      </c>
      <c r="D22" s="25">
        <f t="shared" si="3"/>
        <v>201</v>
      </c>
      <c r="E22" s="25">
        <f t="shared" si="3"/>
        <v>3404</v>
      </c>
      <c r="F22" s="25">
        <f t="shared" si="4"/>
        <v>102</v>
      </c>
      <c r="G22" s="25">
        <f t="shared" si="4"/>
        <v>235</v>
      </c>
      <c r="H22" s="25">
        <f t="shared" si="4"/>
        <v>181</v>
      </c>
      <c r="I22" s="25">
        <f t="shared" si="4"/>
        <v>147</v>
      </c>
      <c r="J22" s="25">
        <f t="shared" si="4"/>
        <v>81</v>
      </c>
      <c r="K22" s="25">
        <f t="shared" si="4"/>
        <v>225</v>
      </c>
      <c r="L22" s="25">
        <f t="shared" si="4"/>
        <v>159</v>
      </c>
      <c r="M22" s="25">
        <f t="shared" si="4"/>
        <v>99</v>
      </c>
      <c r="N22" s="25">
        <f t="shared" si="4"/>
        <v>49</v>
      </c>
      <c r="O22" s="25">
        <f t="shared" si="4"/>
        <v>40</v>
      </c>
      <c r="P22" s="26">
        <f t="shared" si="5"/>
        <v>5080</v>
      </c>
      <c r="Q22" s="6"/>
      <c r="R22" s="18" t="s">
        <v>2</v>
      </c>
      <c r="S22" s="33">
        <f>C22/1641*100</f>
        <v>9.567336989640463</v>
      </c>
      <c r="T22" s="33">
        <f>D22/2180*100</f>
        <v>9.2201834862385326</v>
      </c>
      <c r="U22" s="33">
        <f>E22/31451*100</f>
        <v>10.823185272328384</v>
      </c>
      <c r="V22" s="33">
        <f>F22/1698*100</f>
        <v>6.0070671378091873</v>
      </c>
      <c r="W22" s="33">
        <f>G22/4228*100</f>
        <v>5.5581835383159888</v>
      </c>
      <c r="X22" s="33">
        <f>H22/2449*100</f>
        <v>7.3907717435688038</v>
      </c>
      <c r="Y22" s="33">
        <f>I22/1948*100</f>
        <v>7.5462012320328533</v>
      </c>
      <c r="Z22" s="33">
        <f>J22/720*100</f>
        <v>11.25</v>
      </c>
      <c r="AA22" s="33">
        <f>K22/3549*100</f>
        <v>6.3398140321217236</v>
      </c>
      <c r="AB22" s="33">
        <f>L22/1965*100</f>
        <v>8.0916030534351151</v>
      </c>
      <c r="AC22" s="33">
        <f>M22/1413*100</f>
        <v>7.0063694267515926</v>
      </c>
      <c r="AD22" s="33">
        <f>N22/637*100</f>
        <v>7.6923076923076925</v>
      </c>
      <c r="AE22" s="33">
        <f>O22/654*100</f>
        <v>6.1162079510703364</v>
      </c>
      <c r="AF22" s="33">
        <f>P22/54533*100</f>
        <v>9.3154603634496542</v>
      </c>
      <c r="AG22" s="33">
        <v>11.1</v>
      </c>
      <c r="AH22" s="6"/>
      <c r="AI22" s="6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2" customHeight="1" x14ac:dyDescent="0.35">
      <c r="A23" s="3"/>
      <c r="B23" s="18" t="s">
        <v>3</v>
      </c>
      <c r="C23" s="27">
        <f t="shared" si="3"/>
        <v>143</v>
      </c>
      <c r="D23" s="27">
        <f t="shared" si="3"/>
        <v>187</v>
      </c>
      <c r="E23" s="27">
        <f t="shared" si="3"/>
        <v>3276</v>
      </c>
      <c r="F23" s="27">
        <f t="shared" si="4"/>
        <v>90</v>
      </c>
      <c r="G23" s="27">
        <f t="shared" si="4"/>
        <v>224</v>
      </c>
      <c r="H23" s="27">
        <f t="shared" si="4"/>
        <v>172</v>
      </c>
      <c r="I23" s="27">
        <f t="shared" si="4"/>
        <v>146</v>
      </c>
      <c r="J23" s="27">
        <f t="shared" si="4"/>
        <v>70</v>
      </c>
      <c r="K23" s="27">
        <f t="shared" si="4"/>
        <v>216</v>
      </c>
      <c r="L23" s="27">
        <f t="shared" si="4"/>
        <v>152</v>
      </c>
      <c r="M23" s="27">
        <f t="shared" si="4"/>
        <v>94</v>
      </c>
      <c r="N23" s="27">
        <f t="shared" si="4"/>
        <v>44</v>
      </c>
      <c r="O23" s="27">
        <f t="shared" si="4"/>
        <v>39</v>
      </c>
      <c r="P23" s="28">
        <f t="shared" si="5"/>
        <v>4853</v>
      </c>
      <c r="Q23" s="6"/>
      <c r="R23" s="18" t="s">
        <v>3</v>
      </c>
      <c r="S23" s="34">
        <f>C23/1627*100</f>
        <v>8.7891825445605409</v>
      </c>
      <c r="T23" s="34">
        <f>D23/2166*100</f>
        <v>8.6334256694367486</v>
      </c>
      <c r="U23" s="34">
        <f>E23/31323*100</f>
        <v>10.458768317210994</v>
      </c>
      <c r="V23" s="34">
        <f>F23/1686*100</f>
        <v>5.3380782918149468</v>
      </c>
      <c r="W23" s="34">
        <f>G23/4217*100</f>
        <v>5.3118330566753613</v>
      </c>
      <c r="X23" s="34">
        <f>H23/2440*100</f>
        <v>7.0491803278688518</v>
      </c>
      <c r="Y23" s="34">
        <f>I23/1947*100</f>
        <v>7.4987159732922439</v>
      </c>
      <c r="Z23" s="34">
        <f>J23/709*100</f>
        <v>9.873060648801129</v>
      </c>
      <c r="AA23" s="34">
        <f>K23/3540*100</f>
        <v>6.1016949152542379</v>
      </c>
      <c r="AB23" s="34">
        <f>L23/1958*100</f>
        <v>7.7630234933605724</v>
      </c>
      <c r="AC23" s="34">
        <f>M23/1408*100</f>
        <v>6.6761363636363633</v>
      </c>
      <c r="AD23" s="34">
        <f>N23/632*100</f>
        <v>6.962025316455696</v>
      </c>
      <c r="AE23" s="34">
        <f>O23/653*100</f>
        <v>5.9724349157733538</v>
      </c>
      <c r="AF23" s="34">
        <f>P23/54306*100</f>
        <v>8.9363974514786566</v>
      </c>
      <c r="AG23" s="34">
        <v>10.5</v>
      </c>
      <c r="AH23" s="6"/>
      <c r="AI23" s="6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" customHeight="1" x14ac:dyDescent="0.35">
      <c r="A24" s="3"/>
      <c r="B24" s="18" t="s">
        <v>4</v>
      </c>
      <c r="C24" s="24">
        <f t="shared" si="3"/>
        <v>137</v>
      </c>
      <c r="D24" s="25">
        <f t="shared" si="3"/>
        <v>171</v>
      </c>
      <c r="E24" s="25">
        <f t="shared" si="3"/>
        <v>3210</v>
      </c>
      <c r="F24" s="25">
        <f t="shared" si="4"/>
        <v>97</v>
      </c>
      <c r="G24" s="25">
        <f t="shared" si="4"/>
        <v>208</v>
      </c>
      <c r="H24" s="25">
        <f t="shared" si="4"/>
        <v>177</v>
      </c>
      <c r="I24" s="25">
        <f t="shared" si="4"/>
        <v>139</v>
      </c>
      <c r="J24" s="25">
        <f t="shared" si="4"/>
        <v>74</v>
      </c>
      <c r="K24" s="25">
        <f t="shared" si="4"/>
        <v>211</v>
      </c>
      <c r="L24" s="25">
        <f t="shared" si="4"/>
        <v>152</v>
      </c>
      <c r="M24" s="25">
        <f t="shared" si="4"/>
        <v>90</v>
      </c>
      <c r="N24" s="25">
        <f>N9+AD9</f>
        <v>45</v>
      </c>
      <c r="O24" s="25">
        <f t="shared" si="4"/>
        <v>41</v>
      </c>
      <c r="P24" s="26">
        <f t="shared" si="5"/>
        <v>4752</v>
      </c>
      <c r="Q24" s="6"/>
      <c r="R24" s="18" t="s">
        <v>4</v>
      </c>
      <c r="S24" s="33">
        <f>C24/1621*100</f>
        <v>8.4515731030228256</v>
      </c>
      <c r="T24" s="33">
        <f>D24/2150*100</f>
        <v>7.9534883720930232</v>
      </c>
      <c r="U24" s="33">
        <f>E24/31257*100</f>
        <v>10.269699587292447</v>
      </c>
      <c r="V24" s="33">
        <f>F24/1693*100</f>
        <v>5.7294743059657414</v>
      </c>
      <c r="W24" s="33">
        <f>G24/4201*100</f>
        <v>4.9512020947393482</v>
      </c>
      <c r="X24" s="33">
        <f>H24/2445*100</f>
        <v>7.2392638036809815</v>
      </c>
      <c r="Y24" s="33">
        <f>I24/1940*100</f>
        <v>7.1649484536082468</v>
      </c>
      <c r="Z24" s="33">
        <f>J24/713*100</f>
        <v>10.37868162692847</v>
      </c>
      <c r="AA24" s="33">
        <f>K24/3535*100</f>
        <v>5.9688826025459694</v>
      </c>
      <c r="AB24" s="33">
        <f>L24/1958*100</f>
        <v>7.7630234933605724</v>
      </c>
      <c r="AC24" s="33">
        <f>M24/1404*100</f>
        <v>6.4102564102564097</v>
      </c>
      <c r="AD24" s="33">
        <f>N24/633*100</f>
        <v>7.109004739336493</v>
      </c>
      <c r="AE24" s="33">
        <f>O24/655*100</f>
        <v>6.2595419847328246</v>
      </c>
      <c r="AF24" s="33">
        <f>P24/54205*100</f>
        <v>8.7667189373674006</v>
      </c>
      <c r="AG24" s="33">
        <v>10</v>
      </c>
      <c r="AH24" s="6"/>
      <c r="AI24" s="6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2" customHeight="1" x14ac:dyDescent="0.35">
      <c r="A25" s="3"/>
      <c r="B25" s="18" t="s">
        <v>5</v>
      </c>
      <c r="C25" s="27">
        <f t="shared" si="3"/>
        <v>156</v>
      </c>
      <c r="D25" s="27">
        <f t="shared" si="3"/>
        <v>161</v>
      </c>
      <c r="E25" s="27">
        <f t="shared" si="3"/>
        <v>3337</v>
      </c>
      <c r="F25" s="27">
        <f t="shared" si="4"/>
        <v>109</v>
      </c>
      <c r="G25" s="27">
        <f t="shared" si="4"/>
        <v>224</v>
      </c>
      <c r="H25" s="27">
        <f t="shared" si="4"/>
        <v>175</v>
      </c>
      <c r="I25" s="27">
        <f t="shared" si="4"/>
        <v>143</v>
      </c>
      <c r="J25" s="27">
        <f t="shared" si="4"/>
        <v>86</v>
      </c>
      <c r="K25" s="27">
        <f t="shared" si="4"/>
        <v>225</v>
      </c>
      <c r="L25" s="27">
        <f t="shared" si="4"/>
        <v>163</v>
      </c>
      <c r="M25" s="27">
        <f t="shared" si="4"/>
        <v>102</v>
      </c>
      <c r="N25" s="27">
        <f t="shared" si="4"/>
        <v>44</v>
      </c>
      <c r="O25" s="27">
        <f t="shared" si="4"/>
        <v>41</v>
      </c>
      <c r="P25" s="28">
        <f t="shared" si="5"/>
        <v>4966</v>
      </c>
      <c r="Q25" s="6"/>
      <c r="R25" s="18" t="s">
        <v>5</v>
      </c>
      <c r="S25" s="34">
        <f>C25/1640*100</f>
        <v>9.5121951219512191</v>
      </c>
      <c r="T25" s="34">
        <f>D25/2140*100</f>
        <v>7.5233644859813085</v>
      </c>
      <c r="U25" s="34">
        <f>E25/31384*100</f>
        <v>10.632806525618149</v>
      </c>
      <c r="V25" s="34">
        <f>F25/1705*100</f>
        <v>6.3929618768328451</v>
      </c>
      <c r="W25" s="34">
        <f>G25/4217*100</f>
        <v>5.3118330566753613</v>
      </c>
      <c r="X25" s="34">
        <f>H25/2443*100</f>
        <v>7.1633237822349569</v>
      </c>
      <c r="Y25" s="34">
        <f>I25/1944*100</f>
        <v>7.3559670781893001</v>
      </c>
      <c r="Z25" s="34">
        <f>J25/725*100</f>
        <v>11.862068965517242</v>
      </c>
      <c r="AA25" s="34">
        <f>K25/3549*100</f>
        <v>6.3398140321217236</v>
      </c>
      <c r="AB25" s="34">
        <f>L25/1969*100</f>
        <v>8.2783138649060444</v>
      </c>
      <c r="AC25" s="34">
        <f>M25/1416*100</f>
        <v>7.2033898305084749</v>
      </c>
      <c r="AD25" s="34">
        <f>N25/632*100</f>
        <v>6.962025316455696</v>
      </c>
      <c r="AE25" s="34">
        <f>O25/655*100</f>
        <v>6.2595419847328246</v>
      </c>
      <c r="AF25" s="34">
        <f>P25/54419*100</f>
        <v>9.1254892592660646</v>
      </c>
      <c r="AG25" s="34">
        <v>10.6</v>
      </c>
      <c r="AH25" s="6"/>
      <c r="AI25" s="6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2" customHeight="1" x14ac:dyDescent="0.35">
      <c r="A26" s="3"/>
      <c r="B26" s="18" t="s">
        <v>6</v>
      </c>
      <c r="C26" s="24">
        <f t="shared" si="3"/>
        <v>147</v>
      </c>
      <c r="D26" s="25">
        <f t="shared" si="3"/>
        <v>171</v>
      </c>
      <c r="E26" s="25">
        <f t="shared" si="3"/>
        <v>3345</v>
      </c>
      <c r="F26" s="25">
        <f t="shared" si="4"/>
        <v>109</v>
      </c>
      <c r="G26" s="25">
        <f t="shared" si="4"/>
        <v>221</v>
      </c>
      <c r="H26" s="25">
        <f t="shared" si="4"/>
        <v>177</v>
      </c>
      <c r="I26" s="25">
        <f t="shared" si="4"/>
        <v>151</v>
      </c>
      <c r="J26" s="25">
        <f t="shared" si="4"/>
        <v>89</v>
      </c>
      <c r="K26" s="25">
        <f t="shared" si="4"/>
        <v>215</v>
      </c>
      <c r="L26" s="25">
        <f t="shared" si="4"/>
        <v>163</v>
      </c>
      <c r="M26" s="25">
        <f t="shared" si="4"/>
        <v>95</v>
      </c>
      <c r="N26" s="25">
        <f t="shared" si="4"/>
        <v>39</v>
      </c>
      <c r="O26" s="25">
        <f t="shared" si="4"/>
        <v>42</v>
      </c>
      <c r="P26" s="26">
        <f t="shared" si="5"/>
        <v>4964</v>
      </c>
      <c r="Q26" s="6"/>
      <c r="R26" s="18" t="s">
        <v>6</v>
      </c>
      <c r="S26" s="33">
        <f>C26/1631*100</f>
        <v>9.0128755364806867</v>
      </c>
      <c r="T26" s="33">
        <f>D26/2150*100</f>
        <v>7.9534883720930232</v>
      </c>
      <c r="U26" s="33">
        <f>E26/31392*100</f>
        <v>10.655581039755353</v>
      </c>
      <c r="V26" s="33">
        <f>F26/1705*100</f>
        <v>6.3929618768328451</v>
      </c>
      <c r="W26" s="33">
        <f>G26/4214*100</f>
        <v>5.2444233507356426</v>
      </c>
      <c r="X26" s="33">
        <f>H26/2445*100</f>
        <v>7.2392638036809815</v>
      </c>
      <c r="Y26" s="33">
        <f>I26/1952*100</f>
        <v>7.735655737704918</v>
      </c>
      <c r="Z26" s="33">
        <f>J26/728*100</f>
        <v>12.225274725274724</v>
      </c>
      <c r="AA26" s="33">
        <f>K26/3539*100</f>
        <v>6.0751624752755014</v>
      </c>
      <c r="AB26" s="33">
        <f>L26/1969*100</f>
        <v>8.2783138649060444</v>
      </c>
      <c r="AC26" s="33">
        <f>M26/1409*100</f>
        <v>6.7423704755145488</v>
      </c>
      <c r="AD26" s="33">
        <f>N26/627*100</f>
        <v>6.2200956937799043</v>
      </c>
      <c r="AE26" s="33">
        <f>O26/656*100</f>
        <v>6.4024390243902438</v>
      </c>
      <c r="AF26" s="33">
        <f>P26/54417*100</f>
        <v>9.1221493283348956</v>
      </c>
      <c r="AG26" s="33">
        <v>10.5</v>
      </c>
      <c r="AH26" s="6"/>
      <c r="AI26" s="6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2" customHeight="1" x14ac:dyDescent="0.35">
      <c r="A27" s="3"/>
      <c r="B27" s="18" t="s">
        <v>7</v>
      </c>
      <c r="C27" s="27">
        <f t="shared" si="3"/>
        <v>137</v>
      </c>
      <c r="D27" s="27">
        <f t="shared" si="3"/>
        <v>163</v>
      </c>
      <c r="E27" s="27">
        <f t="shared" si="3"/>
        <v>3242</v>
      </c>
      <c r="F27" s="27">
        <f t="shared" si="4"/>
        <v>103</v>
      </c>
      <c r="G27" s="27">
        <f t="shared" si="4"/>
        <v>221</v>
      </c>
      <c r="H27" s="27">
        <f t="shared" si="4"/>
        <v>167</v>
      </c>
      <c r="I27" s="27">
        <f t="shared" si="4"/>
        <v>148</v>
      </c>
      <c r="J27" s="27">
        <f t="shared" si="4"/>
        <v>84</v>
      </c>
      <c r="K27" s="27">
        <f t="shared" si="4"/>
        <v>207</v>
      </c>
      <c r="L27" s="27">
        <f t="shared" si="4"/>
        <v>154</v>
      </c>
      <c r="M27" s="27">
        <f t="shared" si="4"/>
        <v>86</v>
      </c>
      <c r="N27" s="27">
        <f t="shared" si="4"/>
        <v>36</v>
      </c>
      <c r="O27" s="27">
        <f t="shared" si="4"/>
        <v>46</v>
      </c>
      <c r="P27" s="28">
        <f t="shared" si="5"/>
        <v>4794</v>
      </c>
      <c r="Q27" s="6"/>
      <c r="R27" s="18" t="s">
        <v>7</v>
      </c>
      <c r="S27" s="34">
        <f>C27/1621*100</f>
        <v>8.4515731030228256</v>
      </c>
      <c r="T27" s="34">
        <f>D27/2142*100</f>
        <v>7.6097105508870211</v>
      </c>
      <c r="U27" s="34">
        <f>E27/31289*100</f>
        <v>10.361468886829236</v>
      </c>
      <c r="V27" s="34">
        <f>F27/1699*100</f>
        <v>6.0623896409652742</v>
      </c>
      <c r="W27" s="34">
        <f>G27/4214*100</f>
        <v>5.2444233507356426</v>
      </c>
      <c r="X27" s="34">
        <f>H27/2435*100</f>
        <v>6.8583162217659144</v>
      </c>
      <c r="Y27" s="34">
        <f>I27/1949*100</f>
        <v>7.5936377629553613</v>
      </c>
      <c r="Z27" s="34">
        <f>J27/723*100</f>
        <v>11.618257261410788</v>
      </c>
      <c r="AA27" s="34">
        <f>K27/3531*100</f>
        <v>5.8623619371282922</v>
      </c>
      <c r="AB27" s="34">
        <f>L27/1960*100</f>
        <v>7.8571428571428568</v>
      </c>
      <c r="AC27" s="34">
        <f>M27/1400*100</f>
        <v>6.1428571428571432</v>
      </c>
      <c r="AD27" s="34">
        <f>N27/624*100</f>
        <v>5.7692307692307692</v>
      </c>
      <c r="AE27" s="34">
        <f>O27/660*100</f>
        <v>6.9696969696969706</v>
      </c>
      <c r="AF27" s="34">
        <f>P27/54247*100</f>
        <v>8.8373550611093705</v>
      </c>
      <c r="AG27" s="34">
        <v>10.199999999999999</v>
      </c>
      <c r="AH27" s="6"/>
      <c r="AI27" s="6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2" customHeight="1" x14ac:dyDescent="0.35">
      <c r="A28" s="3"/>
      <c r="B28" s="18" t="s">
        <v>8</v>
      </c>
      <c r="C28" s="24">
        <f t="shared" si="3"/>
        <v>119</v>
      </c>
      <c r="D28" s="25">
        <f t="shared" si="3"/>
        <v>166</v>
      </c>
      <c r="E28" s="25">
        <f t="shared" si="3"/>
        <v>2981</v>
      </c>
      <c r="F28" s="25">
        <f t="shared" si="4"/>
        <v>91</v>
      </c>
      <c r="G28" s="25">
        <f t="shared" si="4"/>
        <v>211</v>
      </c>
      <c r="H28" s="24">
        <f t="shared" si="4"/>
        <v>151</v>
      </c>
      <c r="I28" s="25">
        <f t="shared" si="4"/>
        <v>134</v>
      </c>
      <c r="J28" s="25">
        <f t="shared" si="4"/>
        <v>78</v>
      </c>
      <c r="K28" s="25">
        <f t="shared" si="4"/>
        <v>202</v>
      </c>
      <c r="L28" s="25">
        <f t="shared" si="4"/>
        <v>140</v>
      </c>
      <c r="M28" s="25">
        <f t="shared" si="4"/>
        <v>87</v>
      </c>
      <c r="N28" s="25">
        <f t="shared" si="4"/>
        <v>26</v>
      </c>
      <c r="O28" s="25">
        <f t="shared" si="4"/>
        <v>38</v>
      </c>
      <c r="P28" s="26">
        <f t="shared" si="5"/>
        <v>4424</v>
      </c>
      <c r="Q28" s="6"/>
      <c r="R28" s="18" t="s">
        <v>8</v>
      </c>
      <c r="S28" s="50">
        <f>C28/1603*100</f>
        <v>7.4235807860262017</v>
      </c>
      <c r="T28" s="50">
        <f>D28/2145*100</f>
        <v>7.7389277389277398</v>
      </c>
      <c r="U28" s="50">
        <f>E28/31028*100</f>
        <v>9.607451334278716</v>
      </c>
      <c r="V28" s="50">
        <f>F28/1687*100</f>
        <v>5.394190871369295</v>
      </c>
      <c r="W28" s="50">
        <f>G28/4204*100</f>
        <v>5.0190294957183639</v>
      </c>
      <c r="X28" s="50">
        <f>H28/2419*100</f>
        <v>6.2422488631665978</v>
      </c>
      <c r="Y28" s="50">
        <f>I28/1935*100</f>
        <v>6.9250645994832034</v>
      </c>
      <c r="Z28" s="50">
        <f>J28/717*100</f>
        <v>10.87866108786611</v>
      </c>
      <c r="AA28" s="50">
        <f>K28/3526*100</f>
        <v>5.7288712422007944</v>
      </c>
      <c r="AB28" s="50">
        <f>L28/1946*100</f>
        <v>7.1942446043165464</v>
      </c>
      <c r="AC28" s="50">
        <f>M28/1401*100</f>
        <v>6.209850107066381</v>
      </c>
      <c r="AD28" s="50">
        <f>N28/614*100</f>
        <v>4.234527687296417</v>
      </c>
      <c r="AE28" s="50">
        <f>O28/652*100</f>
        <v>5.8282208588957047</v>
      </c>
      <c r="AF28" s="50">
        <f>P28/53877*100</f>
        <v>8.211296100376785</v>
      </c>
      <c r="AG28" s="33">
        <v>9.8000000000000007</v>
      </c>
      <c r="AH28" s="6"/>
      <c r="AI28" s="6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2" customHeight="1" x14ac:dyDescent="0.35">
      <c r="A29" s="3"/>
      <c r="B29" s="18" t="s">
        <v>9</v>
      </c>
      <c r="C29" s="27">
        <f>C14+S14</f>
        <v>109</v>
      </c>
      <c r="D29" s="27">
        <f t="shared" si="3"/>
        <v>163</v>
      </c>
      <c r="E29" s="27">
        <f t="shared" si="3"/>
        <v>2746</v>
      </c>
      <c r="F29" s="27">
        <f t="shared" si="4"/>
        <v>83</v>
      </c>
      <c r="G29" s="30">
        <f t="shared" si="4"/>
        <v>181</v>
      </c>
      <c r="H29" s="27">
        <f t="shared" si="4"/>
        <v>141</v>
      </c>
      <c r="I29" s="27">
        <f t="shared" si="4"/>
        <v>131</v>
      </c>
      <c r="J29" s="27">
        <f t="shared" si="4"/>
        <v>67</v>
      </c>
      <c r="K29" s="30">
        <f t="shared" si="4"/>
        <v>194</v>
      </c>
      <c r="L29" s="27">
        <f t="shared" si="4"/>
        <v>135</v>
      </c>
      <c r="M29" s="27">
        <f t="shared" si="4"/>
        <v>93</v>
      </c>
      <c r="N29" s="27">
        <f t="shared" si="4"/>
        <v>26</v>
      </c>
      <c r="O29" s="27">
        <f t="shared" si="4"/>
        <v>30</v>
      </c>
      <c r="P29" s="28">
        <f t="shared" si="5"/>
        <v>4099</v>
      </c>
      <c r="Q29" s="6"/>
      <c r="R29" s="18" t="s">
        <v>9</v>
      </c>
      <c r="S29" s="41">
        <f>C29/1593*100</f>
        <v>6.8424356559949784</v>
      </c>
      <c r="T29" s="34">
        <f>D29/2142*100</f>
        <v>7.6097105508870211</v>
      </c>
      <c r="U29" s="34">
        <f>E29/30793*100</f>
        <v>8.9176111453901861</v>
      </c>
      <c r="V29" s="34">
        <f>F29/1679*100</f>
        <v>4.9434187016080999</v>
      </c>
      <c r="W29" s="34">
        <f>G29/4174*100</f>
        <v>4.3363679923334928</v>
      </c>
      <c r="X29" s="34">
        <f>H29/2409*100</f>
        <v>5.85305105853051</v>
      </c>
      <c r="Y29" s="34">
        <f>I29/1932*100</f>
        <v>6.7805383022774324</v>
      </c>
      <c r="Z29" s="34">
        <f>J29/706*100</f>
        <v>9.4900849858356935</v>
      </c>
      <c r="AA29" s="34">
        <f>K29/3518*100</f>
        <v>5.5144968732234227</v>
      </c>
      <c r="AB29" s="34">
        <f>L29/1941*100</f>
        <v>6.9551777434312205</v>
      </c>
      <c r="AC29" s="34">
        <f>M29/1401*100</f>
        <v>6.6381156316916492</v>
      </c>
      <c r="AD29" s="34">
        <f>N29/614*100</f>
        <v>4.234527687296417</v>
      </c>
      <c r="AE29" s="34">
        <f>O29/644*100</f>
        <v>4.658385093167702</v>
      </c>
      <c r="AF29" s="34">
        <v>7.7</v>
      </c>
      <c r="AG29" s="34">
        <v>9.3000000000000007</v>
      </c>
      <c r="AH29" s="6"/>
      <c r="AI29" s="6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2" customHeight="1" x14ac:dyDescent="0.35">
      <c r="A30" s="3"/>
      <c r="B30" s="18" t="s">
        <v>10</v>
      </c>
      <c r="C30" s="24">
        <f t="shared" si="3"/>
        <v>94</v>
      </c>
      <c r="D30" s="25">
        <f t="shared" si="3"/>
        <v>149</v>
      </c>
      <c r="E30" s="25">
        <f t="shared" si="3"/>
        <v>2454</v>
      </c>
      <c r="F30" s="25">
        <f t="shared" si="4"/>
        <v>66</v>
      </c>
      <c r="G30" s="25">
        <f>G15+W15</f>
        <v>161</v>
      </c>
      <c r="H30" s="25">
        <f t="shared" si="4"/>
        <v>138</v>
      </c>
      <c r="I30" s="25">
        <f t="shared" si="4"/>
        <v>111</v>
      </c>
      <c r="J30" s="25">
        <f t="shared" si="4"/>
        <v>64</v>
      </c>
      <c r="K30" s="25">
        <f t="shared" si="4"/>
        <v>167</v>
      </c>
      <c r="L30" s="25">
        <f t="shared" si="4"/>
        <v>122</v>
      </c>
      <c r="M30" s="25">
        <f t="shared" si="4"/>
        <v>87</v>
      </c>
      <c r="N30" s="25">
        <f t="shared" si="4"/>
        <v>29</v>
      </c>
      <c r="O30" s="25">
        <f t="shared" si="4"/>
        <v>29</v>
      </c>
      <c r="P30" s="26">
        <f t="shared" si="5"/>
        <v>3671</v>
      </c>
      <c r="Q30" s="6"/>
      <c r="R30" s="18" t="s">
        <v>10</v>
      </c>
      <c r="S30" s="33">
        <f>C30/1578*100</f>
        <v>5.9569074778200255</v>
      </c>
      <c r="T30" s="33">
        <f>D30/2128*100</f>
        <v>7.0018796992481205</v>
      </c>
      <c r="U30" s="33">
        <f>E30/30501*100</f>
        <v>8.0456378479394122</v>
      </c>
      <c r="V30" s="33">
        <f>F30/1662*100</f>
        <v>3.9711191335740073</v>
      </c>
      <c r="W30" s="33">
        <f>G30/4154*100</f>
        <v>3.8757823784304284</v>
      </c>
      <c r="X30" s="33">
        <f>H30/2406*100</f>
        <v>5.7356608478802995</v>
      </c>
      <c r="Y30" s="33">
        <f>I30/1912*100</f>
        <v>5.8054393305439334</v>
      </c>
      <c r="Z30" s="33">
        <f>J30/703*100</f>
        <v>9.1038406827880518</v>
      </c>
      <c r="AA30" s="33">
        <f>K30/3491*100</f>
        <v>4.7837295903752501</v>
      </c>
      <c r="AB30" s="33">
        <f>L30/1928*100</f>
        <v>6.3278008298755184</v>
      </c>
      <c r="AC30" s="33">
        <f>M30/1401*100</f>
        <v>6.209850107066381</v>
      </c>
      <c r="AD30" s="33">
        <f>N30/617*100</f>
        <v>4.7001620745542949</v>
      </c>
      <c r="AE30" s="33">
        <f>O30/632*100</f>
        <v>4.5886075949367093</v>
      </c>
      <c r="AF30" s="33">
        <f>P30/53124*100</f>
        <v>6.9102477223100669</v>
      </c>
      <c r="AG30" s="33">
        <v>8.9</v>
      </c>
      <c r="AH30" s="6"/>
      <c r="AI30" s="6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2" customHeight="1" x14ac:dyDescent="0.35">
      <c r="A31" s="3"/>
      <c r="B31" s="21" t="s">
        <v>11</v>
      </c>
      <c r="C31" s="27">
        <f t="shared" ref="C31" si="6">C16+S16</f>
        <v>90</v>
      </c>
      <c r="D31" s="27">
        <f t="shared" ref="D31:E31" si="7">D16+T16</f>
        <v>159</v>
      </c>
      <c r="E31" s="27">
        <f t="shared" si="7"/>
        <v>2349</v>
      </c>
      <c r="F31" s="27">
        <f t="shared" ref="F31" si="8">F16+V16</f>
        <v>75</v>
      </c>
      <c r="G31" s="27">
        <f t="shared" ref="G31" si="9">G16+W16</f>
        <v>158</v>
      </c>
      <c r="H31" s="27">
        <f t="shared" ref="H31" si="10">H16+X16</f>
        <v>121</v>
      </c>
      <c r="I31" s="27">
        <f t="shared" ref="I31" si="11">I16+Y16</f>
        <v>106</v>
      </c>
      <c r="J31" s="27">
        <f t="shared" ref="J31" si="12">J16+Z16</f>
        <v>57</v>
      </c>
      <c r="K31" s="27">
        <f t="shared" ref="K31" si="13">K16+AA16</f>
        <v>154</v>
      </c>
      <c r="L31" s="27">
        <f t="shared" ref="L31" si="14">L16+AB16</f>
        <v>126</v>
      </c>
      <c r="M31" s="27">
        <f t="shared" ref="M31" si="15">M16+AC16</f>
        <v>83</v>
      </c>
      <c r="N31" s="27">
        <f t="shared" ref="N31" si="16">N16+AD16</f>
        <v>32</v>
      </c>
      <c r="O31" s="27">
        <f t="shared" ref="O31" si="17">O16+AE16</f>
        <v>34</v>
      </c>
      <c r="P31" s="28">
        <f t="shared" ref="P31" si="18">SUM(C31:O31)</f>
        <v>3544</v>
      </c>
      <c r="Q31" s="6"/>
      <c r="R31" s="21" t="s">
        <v>11</v>
      </c>
      <c r="S31" s="41">
        <v>5.7</v>
      </c>
      <c r="T31" s="34">
        <v>7.4</v>
      </c>
      <c r="U31" s="34">
        <v>7.7</v>
      </c>
      <c r="V31" s="34">
        <v>4.5</v>
      </c>
      <c r="W31" s="34">
        <v>3.8</v>
      </c>
      <c r="X31" s="34">
        <v>5.0999999999999996</v>
      </c>
      <c r="Y31" s="34">
        <v>5.6</v>
      </c>
      <c r="Z31" s="34">
        <v>8.1999999999999993</v>
      </c>
      <c r="AA31" s="34">
        <v>4.4000000000000004</v>
      </c>
      <c r="AB31" s="34">
        <v>6.5</v>
      </c>
      <c r="AC31" s="34">
        <v>5.9</v>
      </c>
      <c r="AD31" s="34">
        <v>5.0999999999999996</v>
      </c>
      <c r="AE31" s="34">
        <v>5.2</v>
      </c>
      <c r="AF31" s="34">
        <v>6.7</v>
      </c>
      <c r="AG31" s="34">
        <v>8.6999999999999993</v>
      </c>
      <c r="AH31" s="6"/>
      <c r="AI31" s="6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3.5" x14ac:dyDescent="0.3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8"/>
      <c r="S32" s="38"/>
      <c r="T32" s="39"/>
      <c r="U32" s="40"/>
      <c r="V32" s="16"/>
      <c r="W32" s="16"/>
      <c r="X32" s="16"/>
      <c r="Y32" s="16"/>
      <c r="Z32" s="16"/>
      <c r="AA32" s="6"/>
      <c r="AB32" s="6"/>
      <c r="AC32" s="6"/>
      <c r="AD32" s="6"/>
      <c r="AE32" s="6"/>
      <c r="AF32" s="6"/>
      <c r="AG32" s="6"/>
      <c r="AH32" s="6"/>
      <c r="AI32" s="6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3.5" x14ac:dyDescent="0.3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3.5" x14ac:dyDescent="0.3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3.5" x14ac:dyDescent="0.3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3.5" x14ac:dyDescent="0.35">
      <c r="A36" s="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3.5" x14ac:dyDescent="0.35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3.5" x14ac:dyDescent="0.3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3.5" x14ac:dyDescent="0.35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3.5" x14ac:dyDescent="0.35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3.5" x14ac:dyDescent="0.3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3.5" x14ac:dyDescent="0.3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3.5" x14ac:dyDescent="0.3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3.5" x14ac:dyDescent="0.3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3.5" x14ac:dyDescent="0.3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3"/>
      <c r="AR45" s="3"/>
      <c r="AS45" s="3"/>
      <c r="AT45" s="3"/>
      <c r="AU45" s="3"/>
      <c r="AV45" s="3"/>
    </row>
    <row r="46" spans="1:48" ht="13.5" x14ac:dyDescent="0.3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3"/>
      <c r="AR46" s="3"/>
      <c r="AS46" s="3"/>
      <c r="AT46" s="3"/>
      <c r="AU46" s="3"/>
      <c r="AV46" s="3"/>
    </row>
    <row r="47" spans="1:48" ht="13.5" x14ac:dyDescent="0.3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3"/>
      <c r="AR47" s="3"/>
      <c r="AS47" s="3"/>
      <c r="AT47" s="3"/>
      <c r="AU47" s="3"/>
      <c r="AV47" s="3"/>
    </row>
    <row r="48" spans="1:48" ht="13.5" x14ac:dyDescent="0.3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3"/>
      <c r="AR48" s="3"/>
      <c r="AS48" s="3"/>
      <c r="AT48" s="3"/>
      <c r="AU48" s="3"/>
      <c r="AV48" s="3"/>
    </row>
    <row r="49" spans="1:48" ht="13.5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3"/>
      <c r="AR49" s="3"/>
      <c r="AS49" s="3"/>
      <c r="AT49" s="3"/>
      <c r="AU49" s="3"/>
      <c r="AV49" s="3"/>
    </row>
    <row r="50" spans="1:48" ht="13.5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3"/>
      <c r="AR50" s="3"/>
      <c r="AS50" s="3"/>
      <c r="AT50" s="3"/>
      <c r="AU50" s="3"/>
      <c r="AV50" s="3"/>
    </row>
    <row r="51" spans="1:48" ht="13.5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3"/>
      <c r="AR51" s="3"/>
      <c r="AS51" s="3"/>
      <c r="AT51" s="3"/>
      <c r="AU51" s="3"/>
      <c r="AV51" s="3"/>
    </row>
    <row r="52" spans="1:48" ht="13.5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3"/>
      <c r="AR52" s="3"/>
      <c r="AS52" s="3"/>
      <c r="AT52" s="3"/>
      <c r="AU52" s="3"/>
      <c r="AV52" s="3"/>
    </row>
    <row r="53" spans="1:48" ht="13.5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3"/>
      <c r="AR53" s="3"/>
      <c r="AS53" s="3"/>
      <c r="AT53" s="3"/>
      <c r="AU53" s="3"/>
      <c r="AV53" s="3"/>
    </row>
    <row r="54" spans="1:48" ht="13.5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3"/>
      <c r="AR54" s="3"/>
      <c r="AS54" s="3"/>
      <c r="AT54" s="3"/>
      <c r="AU54" s="3"/>
      <c r="AV54" s="3"/>
    </row>
    <row r="55" spans="1:48" ht="13.5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3"/>
      <c r="AR55" s="3"/>
      <c r="AS55" s="3"/>
      <c r="AT55" s="3"/>
      <c r="AU55" s="3"/>
      <c r="AV55" s="3"/>
    </row>
    <row r="56" spans="1:48" ht="13.5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3"/>
      <c r="AR56" s="3"/>
      <c r="AS56" s="3"/>
      <c r="AT56" s="3"/>
      <c r="AU56" s="3"/>
      <c r="AV56" s="3"/>
    </row>
    <row r="57" spans="1:48" ht="13.5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3"/>
      <c r="AR57" s="3"/>
      <c r="AS57" s="3"/>
      <c r="AT57" s="3"/>
      <c r="AU57" s="3"/>
      <c r="AV57" s="3"/>
    </row>
    <row r="58" spans="1:48" ht="13.5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3"/>
      <c r="AR58" s="3"/>
      <c r="AS58" s="3"/>
      <c r="AT58" s="3"/>
      <c r="AU58" s="3"/>
      <c r="AV58" s="3"/>
    </row>
    <row r="59" spans="1:48" ht="13.5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3"/>
      <c r="AR59" s="3"/>
      <c r="AS59" s="3"/>
      <c r="AT59" s="3"/>
      <c r="AU59" s="3"/>
      <c r="AV59" s="3"/>
    </row>
    <row r="60" spans="1:48" ht="13.5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3"/>
      <c r="AR60" s="3"/>
      <c r="AS60" s="3"/>
      <c r="AT60" s="3"/>
      <c r="AU60" s="3"/>
      <c r="AV60" s="3"/>
    </row>
    <row r="61" spans="1:48" ht="13.5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3"/>
      <c r="AR61" s="3"/>
      <c r="AS61" s="3"/>
      <c r="AT61" s="3"/>
      <c r="AU61" s="3"/>
      <c r="AV61" s="3"/>
    </row>
    <row r="62" spans="1:48" ht="13.5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3"/>
      <c r="AR62" s="3"/>
      <c r="AS62" s="3"/>
      <c r="AT62" s="3"/>
      <c r="AU62" s="3"/>
      <c r="AV62" s="3"/>
    </row>
    <row r="63" spans="1:48" ht="13.5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3"/>
      <c r="AR63" s="3"/>
      <c r="AS63" s="3"/>
      <c r="AT63" s="3"/>
      <c r="AU63" s="3"/>
      <c r="AV63" s="3"/>
    </row>
    <row r="64" spans="1:48" ht="13.5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3"/>
      <c r="AR64" s="3"/>
      <c r="AS64" s="3"/>
      <c r="AT64" s="3"/>
      <c r="AU64" s="3"/>
      <c r="AV64" s="3"/>
    </row>
    <row r="65" spans="1:48" ht="13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3"/>
      <c r="AR65" s="3"/>
      <c r="AS65" s="3"/>
      <c r="AT65" s="3"/>
      <c r="AU65" s="3"/>
      <c r="AV65" s="3"/>
    </row>
    <row r="66" spans="1:48" ht="13.5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3"/>
      <c r="AR66" s="3"/>
      <c r="AS66" s="3"/>
      <c r="AT66" s="3"/>
      <c r="AU66" s="3"/>
      <c r="AV66" s="3"/>
    </row>
    <row r="67" spans="1:48" ht="13.5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3"/>
      <c r="AR67" s="3"/>
      <c r="AS67" s="3"/>
      <c r="AT67" s="3"/>
      <c r="AU67" s="3"/>
      <c r="AV67" s="3"/>
    </row>
    <row r="68" spans="1:48" ht="13.5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3"/>
      <c r="AR68" s="3"/>
      <c r="AS68" s="3"/>
      <c r="AT68" s="3"/>
      <c r="AU68" s="3"/>
      <c r="AV68" s="3"/>
    </row>
    <row r="69" spans="1:48" ht="13.5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3"/>
      <c r="AR69" s="3"/>
      <c r="AS69" s="3"/>
      <c r="AT69" s="3"/>
      <c r="AU69" s="3"/>
      <c r="AV69" s="3"/>
    </row>
    <row r="70" spans="1:48" ht="13.5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3"/>
      <c r="AR70" s="3"/>
      <c r="AS70" s="3"/>
      <c r="AT70" s="3"/>
      <c r="AU70" s="3"/>
      <c r="AV70" s="3"/>
    </row>
    <row r="71" spans="1:48" ht="13.5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3"/>
      <c r="AR71" s="3"/>
      <c r="AS71" s="3"/>
      <c r="AT71" s="3"/>
      <c r="AU71" s="3"/>
      <c r="AV71" s="3"/>
    </row>
    <row r="72" spans="1:48" ht="13.5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3"/>
      <c r="AR72" s="3"/>
      <c r="AS72" s="3"/>
      <c r="AT72" s="3"/>
      <c r="AU72" s="3"/>
      <c r="AV72" s="3"/>
    </row>
    <row r="73" spans="1:48" ht="13.5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3"/>
      <c r="AR73" s="3"/>
      <c r="AS73" s="3"/>
      <c r="AT73" s="3"/>
      <c r="AU73" s="3"/>
      <c r="AV73" s="3"/>
    </row>
    <row r="74" spans="1:48" ht="13.5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3"/>
      <c r="AR74" s="3"/>
      <c r="AS74" s="3"/>
      <c r="AT74" s="3"/>
      <c r="AU74" s="3"/>
      <c r="AV74" s="3"/>
    </row>
    <row r="75" spans="1:48" ht="13.5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3"/>
      <c r="AR75" s="3"/>
      <c r="AS75" s="3"/>
      <c r="AT75" s="3"/>
      <c r="AU75" s="3"/>
      <c r="AV75" s="3"/>
    </row>
    <row r="76" spans="1:48" ht="13.5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3"/>
      <c r="AR76" s="3"/>
      <c r="AS76" s="3"/>
      <c r="AT76" s="3"/>
      <c r="AU76" s="3"/>
      <c r="AV76" s="3"/>
    </row>
    <row r="77" spans="1:48" ht="13.5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3"/>
      <c r="AR77" s="3"/>
      <c r="AS77" s="3"/>
      <c r="AT77" s="3"/>
      <c r="AU77" s="3"/>
      <c r="AV77" s="3"/>
    </row>
    <row r="78" spans="1:48" ht="13.5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3"/>
      <c r="AR78" s="3"/>
      <c r="AS78" s="3"/>
      <c r="AT78" s="3"/>
      <c r="AU78" s="3"/>
      <c r="AV78" s="3"/>
    </row>
    <row r="79" spans="1:48" ht="13.5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3"/>
      <c r="AR79" s="3"/>
      <c r="AS79" s="3"/>
      <c r="AT79" s="3"/>
      <c r="AU79" s="3"/>
      <c r="AV79" s="3"/>
    </row>
    <row r="80" spans="1:48" ht="13.5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3"/>
      <c r="AR80" s="3"/>
      <c r="AS80" s="3"/>
      <c r="AT80" s="3"/>
      <c r="AU80" s="3"/>
      <c r="AV80" s="3"/>
    </row>
    <row r="81" spans="1:48" ht="13.5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3"/>
      <c r="AR81" s="3"/>
      <c r="AS81" s="3"/>
      <c r="AT81" s="3"/>
      <c r="AU81" s="3"/>
      <c r="AV81" s="3"/>
    </row>
    <row r="82" spans="1:48" ht="13.5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3"/>
      <c r="AR82" s="3"/>
      <c r="AS82" s="3"/>
      <c r="AT82" s="3"/>
      <c r="AU82" s="3"/>
      <c r="AV82" s="3"/>
    </row>
    <row r="83" spans="1:48" ht="13.5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3"/>
      <c r="AR83" s="3"/>
      <c r="AS83" s="3"/>
      <c r="AT83" s="3"/>
      <c r="AU83" s="3"/>
      <c r="AV83" s="3"/>
    </row>
    <row r="84" spans="1:48" ht="13.5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3"/>
      <c r="AR84" s="3"/>
      <c r="AS84" s="3"/>
      <c r="AT84" s="3"/>
      <c r="AU84" s="3"/>
      <c r="AV84" s="3"/>
    </row>
    <row r="85" spans="1:48" ht="13.5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3"/>
      <c r="AR85" s="3"/>
      <c r="AS85" s="3"/>
      <c r="AT85" s="3"/>
      <c r="AU85" s="3"/>
      <c r="AV85" s="3"/>
    </row>
    <row r="86" spans="1:48" ht="13.5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3"/>
      <c r="AR86" s="3"/>
      <c r="AS86" s="3"/>
      <c r="AT86" s="3"/>
      <c r="AU86" s="3"/>
      <c r="AV86" s="3"/>
    </row>
    <row r="87" spans="1:48" ht="13.5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3"/>
      <c r="AR87" s="3"/>
      <c r="AS87" s="3"/>
      <c r="AT87" s="3"/>
      <c r="AU87" s="3"/>
      <c r="AV87" s="3"/>
    </row>
    <row r="88" spans="1:48" ht="13.5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3"/>
      <c r="AR88" s="3"/>
      <c r="AS88" s="3"/>
      <c r="AT88" s="3"/>
      <c r="AU88" s="3"/>
      <c r="AV88" s="3"/>
    </row>
    <row r="89" spans="1:48" ht="13.5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3"/>
      <c r="AR89" s="3"/>
      <c r="AS89" s="3"/>
      <c r="AT89" s="3"/>
      <c r="AU89" s="3"/>
      <c r="AV89" s="3"/>
    </row>
    <row r="90" spans="1:48" ht="13.5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3"/>
      <c r="AR90" s="3"/>
      <c r="AS90" s="3"/>
      <c r="AT90" s="3"/>
      <c r="AU90" s="3"/>
      <c r="AV90" s="3"/>
    </row>
    <row r="91" spans="1:48" ht="13.5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3"/>
      <c r="AR91" s="3"/>
      <c r="AS91" s="3"/>
      <c r="AT91" s="3"/>
      <c r="AU91" s="3"/>
      <c r="AV91" s="3"/>
    </row>
    <row r="92" spans="1:48" ht="13.5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3"/>
      <c r="AR92" s="3"/>
      <c r="AS92" s="3"/>
      <c r="AT92" s="3"/>
      <c r="AU92" s="3"/>
      <c r="AV92" s="3"/>
    </row>
    <row r="93" spans="1:48" ht="13.5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3"/>
      <c r="AR93" s="3"/>
      <c r="AS93" s="3"/>
      <c r="AT93" s="3"/>
      <c r="AU93" s="3"/>
      <c r="AV93" s="3"/>
    </row>
    <row r="94" spans="1:48" ht="13.5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3"/>
      <c r="AR94" s="3"/>
      <c r="AS94" s="3"/>
      <c r="AT94" s="3"/>
      <c r="AU94" s="3"/>
      <c r="AV94" s="3"/>
    </row>
    <row r="95" spans="1:48" ht="13.5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3"/>
      <c r="AR95" s="3"/>
      <c r="AS95" s="3"/>
      <c r="AT95" s="3"/>
      <c r="AU95" s="3"/>
      <c r="AV95" s="3"/>
    </row>
    <row r="96" spans="1:48" ht="13.5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3"/>
      <c r="AR96" s="3"/>
      <c r="AS96" s="3"/>
      <c r="AT96" s="3"/>
      <c r="AU96" s="3"/>
      <c r="AV96" s="3"/>
    </row>
    <row r="97" spans="1:48" ht="13.5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3"/>
      <c r="AR97" s="3"/>
      <c r="AS97" s="3"/>
      <c r="AT97" s="3"/>
      <c r="AU97" s="3"/>
      <c r="AV97" s="3"/>
    </row>
    <row r="98" spans="1:48" ht="13.5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3"/>
      <c r="AR98" s="3"/>
      <c r="AS98" s="3"/>
      <c r="AT98" s="3"/>
      <c r="AU98" s="3"/>
      <c r="AV98" s="3"/>
    </row>
    <row r="99" spans="1:48" ht="13.5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3"/>
      <c r="AR99" s="3"/>
      <c r="AS99" s="3"/>
      <c r="AT99" s="3"/>
      <c r="AU99" s="3"/>
      <c r="AV99" s="3"/>
    </row>
    <row r="100" spans="1:48" ht="13.5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3"/>
      <c r="AR100" s="3"/>
      <c r="AS100" s="3"/>
      <c r="AT100" s="3"/>
      <c r="AU100" s="3"/>
      <c r="AV100" s="3"/>
    </row>
    <row r="101" spans="1:48" ht="13.5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3"/>
      <c r="AR101" s="3"/>
      <c r="AS101" s="3"/>
      <c r="AT101" s="3"/>
      <c r="AU101" s="3"/>
      <c r="AV101" s="3"/>
    </row>
    <row r="102" spans="1:48" ht="13.5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3"/>
      <c r="AR102" s="3"/>
      <c r="AS102" s="3"/>
      <c r="AT102" s="3"/>
      <c r="AU102" s="3"/>
      <c r="AV102" s="3"/>
    </row>
    <row r="103" spans="1:48" ht="13.5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3"/>
      <c r="AR103" s="3"/>
      <c r="AS103" s="3"/>
      <c r="AT103" s="3"/>
      <c r="AU103" s="3"/>
      <c r="AV103" s="3"/>
    </row>
    <row r="104" spans="1:48" ht="13.5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3"/>
      <c r="AR104" s="3"/>
      <c r="AS104" s="3"/>
      <c r="AT104" s="3"/>
      <c r="AU104" s="3"/>
      <c r="AV104" s="3"/>
    </row>
    <row r="105" spans="1:48" ht="13.5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3"/>
      <c r="AR105" s="3"/>
      <c r="AS105" s="3"/>
      <c r="AT105" s="3"/>
      <c r="AU105" s="3"/>
      <c r="AV105" s="3"/>
    </row>
    <row r="106" spans="1:48" ht="13.5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3"/>
      <c r="AR106" s="3"/>
      <c r="AS106" s="3"/>
      <c r="AT106" s="3"/>
      <c r="AU106" s="3"/>
      <c r="AV106" s="3"/>
    </row>
    <row r="107" spans="1:48" ht="13.5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3"/>
      <c r="AR107" s="3"/>
      <c r="AS107" s="3"/>
      <c r="AT107" s="3"/>
      <c r="AU107" s="3"/>
      <c r="AV107" s="3"/>
    </row>
    <row r="108" spans="1:48" ht="13.5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3"/>
      <c r="AR108" s="3"/>
      <c r="AS108" s="3"/>
      <c r="AT108" s="3"/>
      <c r="AU108" s="3"/>
      <c r="AV108" s="3"/>
    </row>
    <row r="109" spans="1:48" ht="13.5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3"/>
      <c r="AR109" s="3"/>
      <c r="AS109" s="3"/>
      <c r="AT109" s="3"/>
      <c r="AU109" s="3"/>
      <c r="AV109" s="3"/>
    </row>
    <row r="110" spans="1:48" ht="13.5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3"/>
      <c r="AR110" s="3"/>
      <c r="AS110" s="3"/>
      <c r="AT110" s="3"/>
      <c r="AU110" s="3"/>
      <c r="AV110" s="3"/>
    </row>
    <row r="111" spans="1:48" ht="13.5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3"/>
      <c r="AR111" s="3"/>
      <c r="AS111" s="3"/>
      <c r="AT111" s="3"/>
      <c r="AU111" s="3"/>
      <c r="AV111" s="3"/>
    </row>
    <row r="112" spans="1:48" ht="13.5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3"/>
      <c r="AR112" s="3"/>
      <c r="AS112" s="3"/>
      <c r="AT112" s="3"/>
      <c r="AU112" s="3"/>
      <c r="AV112" s="3"/>
    </row>
    <row r="113" spans="1:48" ht="13.5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3"/>
      <c r="AR113" s="3"/>
      <c r="AS113" s="3"/>
      <c r="AT113" s="3"/>
      <c r="AU113" s="3"/>
      <c r="AV113" s="3"/>
    </row>
    <row r="114" spans="1:48" ht="13.5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3"/>
      <c r="AR114" s="3"/>
      <c r="AS114" s="3"/>
      <c r="AT114" s="3"/>
      <c r="AU114" s="3"/>
      <c r="AV114" s="3"/>
    </row>
    <row r="115" spans="1:48" ht="13.5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3"/>
      <c r="AR115" s="3"/>
      <c r="AS115" s="3"/>
      <c r="AT115" s="3"/>
      <c r="AU115" s="3"/>
      <c r="AV115" s="3"/>
    </row>
    <row r="116" spans="1:48" ht="13.5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3"/>
      <c r="AR116" s="3"/>
      <c r="AS116" s="3"/>
      <c r="AT116" s="3"/>
      <c r="AU116" s="3"/>
      <c r="AV116" s="3"/>
    </row>
    <row r="117" spans="1:48" ht="13.5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3"/>
      <c r="AR117" s="3"/>
      <c r="AS117" s="3"/>
      <c r="AT117" s="3"/>
      <c r="AU117" s="3"/>
      <c r="AV117" s="3"/>
    </row>
    <row r="118" spans="1:48" ht="13.5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8" ht="13.5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8" ht="13.5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48" ht="13.5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48" ht="13.5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48" ht="13.5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48" ht="13.5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48" ht="13.5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48" ht="13.5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48" ht="13.5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48" ht="13.5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ht="13.5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</sheetData>
  <mergeCells count="3">
    <mergeCell ref="B3:P3"/>
    <mergeCell ref="B18:P18"/>
    <mergeCell ref="R3:AF3"/>
  </mergeCells>
  <pageMargins left="0.25" right="0.25" top="0.75" bottom="0.75" header="0.3" footer="0.3"/>
  <pageSetup paperSize="8" orientation="landscape" verticalDpi="300" r:id="rId1"/>
  <headerFooter alignWithMargins="0"/>
  <ignoredErrors>
    <ignoredError sqref="X22 W24 AD24 T25 X2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E7CC-A1B0-4EEF-828E-045B23917FC2}">
  <dimension ref="A1:BB175"/>
  <sheetViews>
    <sheetView zoomScale="80" zoomScaleNormal="80" zoomScaleSheetLayoutView="20" workbookViewId="0">
      <selection activeCell="AE34" sqref="AE34"/>
    </sheetView>
  </sheetViews>
  <sheetFormatPr defaultColWidth="9.1796875" defaultRowHeight="12.5" x14ac:dyDescent="0.25"/>
  <cols>
    <col min="1" max="1" width="9.1796875" style="2"/>
    <col min="2" max="3" width="5.1796875" style="2" customWidth="1"/>
    <col min="4" max="4" width="5.81640625" style="2" bestFit="1" customWidth="1"/>
    <col min="5" max="5" width="9" style="2" customWidth="1"/>
    <col min="6" max="6" width="5.1796875" style="2" bestFit="1" customWidth="1"/>
    <col min="7" max="7" width="7.1796875" style="2" bestFit="1" customWidth="1"/>
    <col min="8" max="8" width="5.1796875" style="2" bestFit="1" customWidth="1"/>
    <col min="9" max="9" width="4.1796875" style="2" bestFit="1" customWidth="1"/>
    <col min="10" max="10" width="5.81640625" style="2" bestFit="1" customWidth="1"/>
    <col min="11" max="11" width="8.1796875" style="2" customWidth="1"/>
    <col min="12" max="12" width="4.81640625" style="2" bestFit="1" customWidth="1"/>
    <col min="13" max="13" width="7.81640625" style="2" bestFit="1" customWidth="1"/>
    <col min="14" max="14" width="3.81640625" style="2" bestFit="1" customWidth="1"/>
    <col min="15" max="15" width="4.81640625" style="2" bestFit="1" customWidth="1"/>
    <col min="16" max="16" width="9.54296875" style="2" customWidth="1"/>
    <col min="17" max="17" width="5" style="2" customWidth="1"/>
    <col min="18" max="18" width="4.1796875" style="2" bestFit="1" customWidth="1"/>
    <col min="19" max="20" width="7" style="2" bestFit="1" customWidth="1"/>
    <col min="21" max="21" width="8.1796875" style="2" bestFit="1" customWidth="1"/>
    <col min="22" max="22" width="7" style="2" bestFit="1" customWidth="1"/>
    <col min="23" max="23" width="7.1796875" style="2" bestFit="1" customWidth="1"/>
    <col min="24" max="25" width="7" style="2" bestFit="1" customWidth="1"/>
    <col min="26" max="26" width="5.81640625" style="2" customWidth="1"/>
    <col min="27" max="27" width="6.81640625" style="2" customWidth="1"/>
    <col min="28" max="28" width="7" style="2" bestFit="1" customWidth="1"/>
    <col min="29" max="29" width="8" style="2" bestFit="1" customWidth="1"/>
    <col min="30" max="31" width="7" style="2" bestFit="1" customWidth="1"/>
    <col min="32" max="32" width="9.1796875" style="2" bestFit="1" customWidth="1"/>
    <col min="33" max="33" width="7.81640625" style="2" customWidth="1"/>
    <col min="34" max="36" width="5" style="2" bestFit="1" customWidth="1"/>
    <col min="37" max="16384" width="9.1796875" style="2"/>
  </cols>
  <sheetData>
    <row r="1" spans="1:54" ht="56" customHeight="1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22.25" customHeight="1" x14ac:dyDescent="0.35">
      <c r="A2" s="3"/>
      <c r="B2" s="23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3.5" x14ac:dyDescent="0.35">
      <c r="A3" s="3"/>
      <c r="B3" s="51" t="s">
        <v>35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6"/>
      <c r="R3" s="51" t="s">
        <v>36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6"/>
      <c r="AH3" s="6"/>
      <c r="AI3" s="6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9.75" customHeight="1" x14ac:dyDescent="0.35">
      <c r="A4" s="3"/>
      <c r="B4" s="8"/>
      <c r="C4" s="9" t="s">
        <v>12</v>
      </c>
      <c r="D4" s="9" t="s">
        <v>23</v>
      </c>
      <c r="E4" s="9" t="s">
        <v>20</v>
      </c>
      <c r="F4" s="9" t="s">
        <v>13</v>
      </c>
      <c r="G4" s="9" t="s">
        <v>27</v>
      </c>
      <c r="H4" s="9" t="s">
        <v>22</v>
      </c>
      <c r="I4" s="9" t="s">
        <v>18</v>
      </c>
      <c r="J4" s="9" t="s">
        <v>19</v>
      </c>
      <c r="K4" s="9" t="s">
        <v>21</v>
      </c>
      <c r="L4" s="9" t="s">
        <v>14</v>
      </c>
      <c r="M4" s="9" t="s">
        <v>16</v>
      </c>
      <c r="N4" s="9" t="s">
        <v>17</v>
      </c>
      <c r="O4" s="9" t="s">
        <v>15</v>
      </c>
      <c r="P4" s="9" t="s">
        <v>30</v>
      </c>
      <c r="Q4" s="10"/>
      <c r="R4" s="8"/>
      <c r="S4" s="9" t="s">
        <v>12</v>
      </c>
      <c r="T4" s="9" t="s">
        <v>23</v>
      </c>
      <c r="U4" s="9" t="s">
        <v>20</v>
      </c>
      <c r="V4" s="9" t="s">
        <v>13</v>
      </c>
      <c r="W4" s="9" t="s">
        <v>27</v>
      </c>
      <c r="X4" s="9" t="s">
        <v>22</v>
      </c>
      <c r="Y4" s="9" t="s">
        <v>18</v>
      </c>
      <c r="Z4" s="9" t="s">
        <v>19</v>
      </c>
      <c r="AA4" s="9" t="s">
        <v>21</v>
      </c>
      <c r="AB4" s="9" t="s">
        <v>14</v>
      </c>
      <c r="AC4" s="9" t="s">
        <v>16</v>
      </c>
      <c r="AD4" s="9" t="s">
        <v>17</v>
      </c>
      <c r="AE4" s="9" t="s">
        <v>15</v>
      </c>
      <c r="AF4" s="9" t="s">
        <v>30</v>
      </c>
      <c r="AG4" s="6"/>
      <c r="AH4" s="6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2" customHeight="1" x14ac:dyDescent="0.35">
      <c r="A5" s="3"/>
      <c r="B5" s="18" t="s">
        <v>0</v>
      </c>
      <c r="C5" s="24">
        <v>236</v>
      </c>
      <c r="D5" s="25">
        <v>218</v>
      </c>
      <c r="E5" s="26">
        <v>10518</v>
      </c>
      <c r="F5" s="25">
        <v>207</v>
      </c>
      <c r="G5" s="25">
        <v>246</v>
      </c>
      <c r="H5" s="25">
        <v>174</v>
      </c>
      <c r="I5" s="25">
        <v>167</v>
      </c>
      <c r="J5" s="25">
        <v>97</v>
      </c>
      <c r="K5" s="25">
        <v>508</v>
      </c>
      <c r="L5" s="25">
        <v>321</v>
      </c>
      <c r="M5" s="25">
        <v>132</v>
      </c>
      <c r="N5" s="25">
        <v>38</v>
      </c>
      <c r="O5" s="25">
        <v>19</v>
      </c>
      <c r="P5" s="26">
        <f>SUM(C5:O5)</f>
        <v>12881</v>
      </c>
      <c r="Q5" s="11"/>
      <c r="R5" s="18" t="s">
        <v>0</v>
      </c>
      <c r="S5" s="24">
        <v>211</v>
      </c>
      <c r="T5" s="25">
        <v>287</v>
      </c>
      <c r="U5" s="26">
        <v>8831</v>
      </c>
      <c r="V5" s="25">
        <v>189</v>
      </c>
      <c r="W5" s="25">
        <v>337</v>
      </c>
      <c r="X5" s="25">
        <v>279</v>
      </c>
      <c r="Y5" s="25">
        <v>225</v>
      </c>
      <c r="Z5" s="25">
        <v>101</v>
      </c>
      <c r="AA5" s="25">
        <v>495</v>
      </c>
      <c r="AB5" s="25">
        <v>343</v>
      </c>
      <c r="AC5" s="25">
        <v>127</v>
      </c>
      <c r="AD5" s="25">
        <v>43</v>
      </c>
      <c r="AE5" s="25">
        <v>45</v>
      </c>
      <c r="AF5" s="26">
        <f>SUM(S5:AE5)</f>
        <v>11513</v>
      </c>
      <c r="AG5" s="6"/>
      <c r="AH5" s="6"/>
      <c r="AI5" s="6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2" customHeight="1" x14ac:dyDescent="0.35">
      <c r="A6" s="3"/>
      <c r="B6" s="18" t="s">
        <v>1</v>
      </c>
      <c r="C6" s="27">
        <v>224</v>
      </c>
      <c r="D6" s="27">
        <v>213</v>
      </c>
      <c r="E6" s="28">
        <v>10028</v>
      </c>
      <c r="F6" s="27">
        <v>194</v>
      </c>
      <c r="G6" s="27">
        <v>234</v>
      </c>
      <c r="H6" s="27">
        <v>181</v>
      </c>
      <c r="I6" s="27">
        <v>163</v>
      </c>
      <c r="J6" s="27">
        <v>106</v>
      </c>
      <c r="K6" s="27">
        <v>494</v>
      </c>
      <c r="L6" s="27">
        <v>302</v>
      </c>
      <c r="M6" s="27">
        <v>116</v>
      </c>
      <c r="N6" s="27">
        <v>31</v>
      </c>
      <c r="O6" s="27">
        <v>16</v>
      </c>
      <c r="P6" s="28">
        <f t="shared" ref="P6:P16" si="0">SUM(C6:O6)</f>
        <v>12302</v>
      </c>
      <c r="Q6" s="11"/>
      <c r="R6" s="18" t="s">
        <v>1</v>
      </c>
      <c r="S6" s="27">
        <v>214</v>
      </c>
      <c r="T6" s="27">
        <v>281</v>
      </c>
      <c r="U6" s="28">
        <v>9221</v>
      </c>
      <c r="V6" s="27">
        <v>193</v>
      </c>
      <c r="W6" s="27">
        <v>338</v>
      </c>
      <c r="X6" s="27">
        <v>271</v>
      </c>
      <c r="Y6" s="27">
        <v>223</v>
      </c>
      <c r="Z6" s="27">
        <v>98</v>
      </c>
      <c r="AA6" s="27">
        <v>522</v>
      </c>
      <c r="AB6" s="27">
        <v>366</v>
      </c>
      <c r="AC6" s="27">
        <v>136</v>
      </c>
      <c r="AD6" s="27">
        <v>43</v>
      </c>
      <c r="AE6" s="27">
        <v>47</v>
      </c>
      <c r="AF6" s="28">
        <f t="shared" ref="AF6:AF16" si="1">SUM(S6:AE6)</f>
        <v>11953</v>
      </c>
      <c r="AG6" s="6"/>
      <c r="AH6" s="6"/>
      <c r="AI6" s="6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2" customHeight="1" x14ac:dyDescent="0.35">
      <c r="A7" s="3"/>
      <c r="B7" s="18" t="s">
        <v>2</v>
      </c>
      <c r="C7" s="24">
        <v>217</v>
      </c>
      <c r="D7" s="25">
        <v>175</v>
      </c>
      <c r="E7" s="26">
        <v>9219</v>
      </c>
      <c r="F7" s="25">
        <v>179</v>
      </c>
      <c r="G7" s="25">
        <v>217</v>
      </c>
      <c r="H7" s="25">
        <v>165</v>
      </c>
      <c r="I7" s="25">
        <v>149</v>
      </c>
      <c r="J7" s="25">
        <v>96</v>
      </c>
      <c r="K7" s="25">
        <v>435</v>
      </c>
      <c r="L7" s="25">
        <v>277</v>
      </c>
      <c r="M7" s="25">
        <v>95</v>
      </c>
      <c r="N7" s="25">
        <v>32</v>
      </c>
      <c r="O7" s="25">
        <v>16</v>
      </c>
      <c r="P7" s="26">
        <f t="shared" si="0"/>
        <v>11272</v>
      </c>
      <c r="Q7" s="11"/>
      <c r="R7" s="18" t="s">
        <v>2</v>
      </c>
      <c r="S7" s="24">
        <v>214</v>
      </c>
      <c r="T7" s="25">
        <v>293</v>
      </c>
      <c r="U7" s="26">
        <v>9591</v>
      </c>
      <c r="V7" s="25">
        <v>190</v>
      </c>
      <c r="W7" s="25">
        <v>336</v>
      </c>
      <c r="X7" s="25">
        <v>282</v>
      </c>
      <c r="Y7" s="25">
        <v>222</v>
      </c>
      <c r="Z7" s="25">
        <v>99</v>
      </c>
      <c r="AA7" s="25">
        <v>542</v>
      </c>
      <c r="AB7" s="25">
        <v>377</v>
      </c>
      <c r="AC7" s="25">
        <v>159</v>
      </c>
      <c r="AD7" s="25">
        <v>42</v>
      </c>
      <c r="AE7" s="25">
        <v>44</v>
      </c>
      <c r="AF7" s="26">
        <f t="shared" si="1"/>
        <v>12391</v>
      </c>
      <c r="AG7" s="6"/>
      <c r="AH7" s="6"/>
      <c r="AI7" s="6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2" customHeight="1" x14ac:dyDescent="0.35">
      <c r="A8" s="3"/>
      <c r="B8" s="18" t="s">
        <v>3</v>
      </c>
      <c r="C8" s="27">
        <v>177</v>
      </c>
      <c r="D8" s="27">
        <v>171</v>
      </c>
      <c r="E8" s="28">
        <v>8609</v>
      </c>
      <c r="F8" s="27">
        <v>158</v>
      </c>
      <c r="G8" s="27">
        <v>228</v>
      </c>
      <c r="H8" s="27">
        <v>144</v>
      </c>
      <c r="I8" s="27">
        <v>135</v>
      </c>
      <c r="J8" s="27">
        <v>83</v>
      </c>
      <c r="K8" s="27">
        <v>409</v>
      </c>
      <c r="L8" s="27">
        <v>268</v>
      </c>
      <c r="M8" s="27">
        <v>85</v>
      </c>
      <c r="N8" s="27">
        <v>27</v>
      </c>
      <c r="O8" s="27">
        <v>12</v>
      </c>
      <c r="P8" s="28">
        <f t="shared" si="0"/>
        <v>10506</v>
      </c>
      <c r="Q8" s="11"/>
      <c r="R8" s="18" t="s">
        <v>3</v>
      </c>
      <c r="S8" s="27">
        <v>224</v>
      </c>
      <c r="T8" s="27">
        <v>286</v>
      </c>
      <c r="U8" s="28">
        <v>9834</v>
      </c>
      <c r="V8" s="27">
        <v>196</v>
      </c>
      <c r="W8" s="27">
        <v>332</v>
      </c>
      <c r="X8" s="27">
        <v>295</v>
      </c>
      <c r="Y8" s="27">
        <v>231</v>
      </c>
      <c r="Z8" s="27">
        <v>103</v>
      </c>
      <c r="AA8" s="27">
        <v>548</v>
      </c>
      <c r="AB8" s="27">
        <v>388</v>
      </c>
      <c r="AC8" s="27">
        <v>165</v>
      </c>
      <c r="AD8" s="27">
        <v>45</v>
      </c>
      <c r="AE8" s="27">
        <v>46</v>
      </c>
      <c r="AF8" s="28">
        <f t="shared" si="1"/>
        <v>12693</v>
      </c>
      <c r="AG8" s="6"/>
      <c r="AH8" s="6"/>
      <c r="AI8" s="6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12" customHeight="1" x14ac:dyDescent="0.35">
      <c r="A9" s="3"/>
      <c r="B9" s="18" t="s">
        <v>4</v>
      </c>
      <c r="C9" s="24">
        <v>172</v>
      </c>
      <c r="D9" s="25">
        <v>169</v>
      </c>
      <c r="E9" s="26">
        <v>8239</v>
      </c>
      <c r="F9" s="25">
        <v>141</v>
      </c>
      <c r="G9" s="25">
        <v>207</v>
      </c>
      <c r="H9" s="25">
        <v>145</v>
      </c>
      <c r="I9" s="25">
        <v>120</v>
      </c>
      <c r="J9" s="25">
        <v>90</v>
      </c>
      <c r="K9" s="25">
        <v>369</v>
      </c>
      <c r="L9" s="25">
        <v>269</v>
      </c>
      <c r="M9" s="25">
        <v>81</v>
      </c>
      <c r="N9" s="25">
        <v>27</v>
      </c>
      <c r="O9" s="25">
        <v>14</v>
      </c>
      <c r="P9" s="26">
        <f t="shared" si="0"/>
        <v>10043</v>
      </c>
      <c r="Q9" s="11"/>
      <c r="R9" s="18" t="s">
        <v>4</v>
      </c>
      <c r="S9" s="24">
        <v>226</v>
      </c>
      <c r="T9" s="25">
        <v>282</v>
      </c>
      <c r="U9" s="26">
        <v>9772</v>
      </c>
      <c r="V9" s="25">
        <v>193</v>
      </c>
      <c r="W9" s="25">
        <v>342</v>
      </c>
      <c r="X9" s="25">
        <v>293</v>
      </c>
      <c r="Y9" s="25">
        <v>241</v>
      </c>
      <c r="Z9" s="25">
        <v>95</v>
      </c>
      <c r="AA9" s="25">
        <v>540</v>
      </c>
      <c r="AB9" s="25">
        <v>382</v>
      </c>
      <c r="AC9" s="25">
        <v>158</v>
      </c>
      <c r="AD9" s="25">
        <v>43</v>
      </c>
      <c r="AE9" s="25">
        <v>44</v>
      </c>
      <c r="AF9" s="26">
        <f t="shared" si="1"/>
        <v>12611</v>
      </c>
      <c r="AG9" s="6"/>
      <c r="AH9" s="6"/>
      <c r="AI9" s="6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ht="12" customHeight="1" x14ac:dyDescent="0.35">
      <c r="A10" s="3"/>
      <c r="B10" s="18" t="s">
        <v>5</v>
      </c>
      <c r="C10" s="27">
        <v>179</v>
      </c>
      <c r="D10" s="27">
        <v>182</v>
      </c>
      <c r="E10" s="28">
        <v>8449</v>
      </c>
      <c r="F10" s="27">
        <v>148</v>
      </c>
      <c r="G10" s="27">
        <v>215</v>
      </c>
      <c r="H10" s="27">
        <v>153</v>
      </c>
      <c r="I10" s="27">
        <v>132</v>
      </c>
      <c r="J10" s="27">
        <v>88</v>
      </c>
      <c r="K10" s="27">
        <v>392</v>
      </c>
      <c r="L10" s="27">
        <v>276</v>
      </c>
      <c r="M10" s="27">
        <v>91</v>
      </c>
      <c r="N10" s="27">
        <v>27</v>
      </c>
      <c r="O10" s="27">
        <v>12</v>
      </c>
      <c r="P10" s="28">
        <f t="shared" si="0"/>
        <v>10344</v>
      </c>
      <c r="Q10" s="11"/>
      <c r="R10" s="18" t="s">
        <v>5</v>
      </c>
      <c r="S10" s="27">
        <v>220</v>
      </c>
      <c r="T10" s="27">
        <v>279</v>
      </c>
      <c r="U10" s="28">
        <v>9302</v>
      </c>
      <c r="V10" s="27">
        <v>191</v>
      </c>
      <c r="W10" s="27">
        <v>330</v>
      </c>
      <c r="X10" s="27">
        <v>287</v>
      </c>
      <c r="Y10" s="27">
        <v>235</v>
      </c>
      <c r="Z10" s="27">
        <v>101</v>
      </c>
      <c r="AA10" s="27">
        <v>514</v>
      </c>
      <c r="AB10" s="27">
        <v>374</v>
      </c>
      <c r="AC10" s="27">
        <v>146</v>
      </c>
      <c r="AD10" s="27">
        <v>38</v>
      </c>
      <c r="AE10" s="27">
        <v>53</v>
      </c>
      <c r="AF10" s="28">
        <f t="shared" si="1"/>
        <v>12070</v>
      </c>
      <c r="AG10" s="6"/>
      <c r="AH10" s="6"/>
      <c r="AI10" s="6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12" customHeight="1" x14ac:dyDescent="0.35">
      <c r="A11" s="3"/>
      <c r="B11" s="18" t="s">
        <v>6</v>
      </c>
      <c r="C11" s="24">
        <v>183</v>
      </c>
      <c r="D11" s="25">
        <v>190</v>
      </c>
      <c r="E11" s="26">
        <v>8929</v>
      </c>
      <c r="F11" s="25">
        <v>141</v>
      </c>
      <c r="G11" s="25">
        <v>215</v>
      </c>
      <c r="H11" s="25">
        <v>146</v>
      </c>
      <c r="I11" s="25">
        <v>147</v>
      </c>
      <c r="J11" s="25">
        <v>96</v>
      </c>
      <c r="K11" s="25">
        <v>400</v>
      </c>
      <c r="L11" s="25">
        <v>302</v>
      </c>
      <c r="M11" s="25">
        <v>104</v>
      </c>
      <c r="N11" s="25">
        <v>21</v>
      </c>
      <c r="O11" s="25">
        <v>21</v>
      </c>
      <c r="P11" s="26">
        <f t="shared" si="0"/>
        <v>10895</v>
      </c>
      <c r="Q11" s="11"/>
      <c r="R11" s="18" t="s">
        <v>6</v>
      </c>
      <c r="S11" s="24">
        <v>209</v>
      </c>
      <c r="T11" s="25">
        <v>255</v>
      </c>
      <c r="U11" s="26">
        <v>8878</v>
      </c>
      <c r="V11" s="25">
        <v>178</v>
      </c>
      <c r="W11" s="25">
        <v>323</v>
      </c>
      <c r="X11" s="25">
        <v>288</v>
      </c>
      <c r="Y11" s="25">
        <v>223</v>
      </c>
      <c r="Z11" s="25">
        <v>97</v>
      </c>
      <c r="AA11" s="25">
        <v>495</v>
      </c>
      <c r="AB11" s="25">
        <v>365</v>
      </c>
      <c r="AC11" s="25">
        <v>141</v>
      </c>
      <c r="AD11" s="25">
        <v>37</v>
      </c>
      <c r="AE11" s="25">
        <v>45</v>
      </c>
      <c r="AF11" s="26">
        <f t="shared" si="1"/>
        <v>11534</v>
      </c>
      <c r="AG11" s="6"/>
      <c r="AH11" s="6"/>
      <c r="AI11" s="6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12" customHeight="1" x14ac:dyDescent="0.35">
      <c r="A12" s="3"/>
      <c r="B12" s="18" t="s">
        <v>7</v>
      </c>
      <c r="C12" s="27">
        <v>179</v>
      </c>
      <c r="D12" s="27">
        <v>180</v>
      </c>
      <c r="E12" s="28">
        <v>9080</v>
      </c>
      <c r="F12" s="27">
        <v>139</v>
      </c>
      <c r="G12" s="27">
        <v>202</v>
      </c>
      <c r="H12" s="27">
        <v>168</v>
      </c>
      <c r="I12" s="27">
        <v>150</v>
      </c>
      <c r="J12" s="27">
        <v>93</v>
      </c>
      <c r="K12" s="27">
        <v>416</v>
      </c>
      <c r="L12" s="27">
        <v>300</v>
      </c>
      <c r="M12" s="27">
        <v>101</v>
      </c>
      <c r="N12" s="27">
        <v>31</v>
      </c>
      <c r="O12" s="27">
        <v>23</v>
      </c>
      <c r="P12" s="28">
        <f t="shared" si="0"/>
        <v>11062</v>
      </c>
      <c r="Q12" s="11"/>
      <c r="R12" s="18" t="s">
        <v>7</v>
      </c>
      <c r="S12" s="27">
        <v>202</v>
      </c>
      <c r="T12" s="27">
        <v>249</v>
      </c>
      <c r="U12" s="28">
        <v>8473</v>
      </c>
      <c r="V12" s="27">
        <v>168</v>
      </c>
      <c r="W12" s="27">
        <v>310</v>
      </c>
      <c r="X12" s="27">
        <v>271</v>
      </c>
      <c r="Y12" s="27">
        <v>214</v>
      </c>
      <c r="Z12" s="27">
        <v>89</v>
      </c>
      <c r="AA12" s="27">
        <v>465</v>
      </c>
      <c r="AB12" s="27">
        <v>337</v>
      </c>
      <c r="AC12" s="27">
        <v>132</v>
      </c>
      <c r="AD12" s="27">
        <v>39</v>
      </c>
      <c r="AE12" s="27">
        <v>44</v>
      </c>
      <c r="AF12" s="28">
        <f t="shared" si="1"/>
        <v>10993</v>
      </c>
      <c r="AG12" s="6"/>
      <c r="AH12" s="6"/>
      <c r="AI12" s="6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2" customHeight="1" x14ac:dyDescent="0.35">
      <c r="A13" s="3"/>
      <c r="B13" s="18" t="s">
        <v>8</v>
      </c>
      <c r="C13" s="24">
        <v>179</v>
      </c>
      <c r="D13" s="25">
        <v>171</v>
      </c>
      <c r="E13" s="26">
        <v>8840</v>
      </c>
      <c r="F13" s="25">
        <v>121</v>
      </c>
      <c r="G13" s="25">
        <v>212</v>
      </c>
      <c r="H13" s="24">
        <v>161</v>
      </c>
      <c r="I13" s="25">
        <v>135</v>
      </c>
      <c r="J13" s="25">
        <v>86</v>
      </c>
      <c r="K13" s="25">
        <v>402</v>
      </c>
      <c r="L13" s="25">
        <v>283</v>
      </c>
      <c r="M13" s="25">
        <v>88</v>
      </c>
      <c r="N13" s="25">
        <v>22</v>
      </c>
      <c r="O13" s="25">
        <v>15</v>
      </c>
      <c r="P13" s="26">
        <f t="shared" si="0"/>
        <v>10715</v>
      </c>
      <c r="Q13" s="11"/>
      <c r="R13" s="18" t="s">
        <v>8</v>
      </c>
      <c r="S13" s="24">
        <v>189</v>
      </c>
      <c r="T13" s="25">
        <v>244</v>
      </c>
      <c r="U13" s="26">
        <v>8243</v>
      </c>
      <c r="V13" s="25">
        <v>165</v>
      </c>
      <c r="W13" s="25">
        <v>301</v>
      </c>
      <c r="X13" s="24">
        <v>259</v>
      </c>
      <c r="Y13" s="25">
        <v>216</v>
      </c>
      <c r="Z13" s="25">
        <v>81</v>
      </c>
      <c r="AA13" s="25">
        <v>452</v>
      </c>
      <c r="AB13" s="25">
        <v>324</v>
      </c>
      <c r="AC13" s="25">
        <v>139</v>
      </c>
      <c r="AD13" s="25">
        <v>39</v>
      </c>
      <c r="AE13" s="25">
        <v>43</v>
      </c>
      <c r="AF13" s="26">
        <f t="shared" si="1"/>
        <v>10695</v>
      </c>
      <c r="AG13" s="6"/>
      <c r="AH13" s="6"/>
      <c r="AI13" s="6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2" customHeight="1" x14ac:dyDescent="0.35">
      <c r="A14" s="3"/>
      <c r="B14" s="18" t="s">
        <v>9</v>
      </c>
      <c r="C14" s="27">
        <v>184</v>
      </c>
      <c r="D14" s="27">
        <v>169</v>
      </c>
      <c r="E14" s="28">
        <v>8321</v>
      </c>
      <c r="F14" s="27">
        <v>126</v>
      </c>
      <c r="G14" s="27">
        <v>201</v>
      </c>
      <c r="H14" s="27">
        <v>154</v>
      </c>
      <c r="I14" s="27">
        <v>125</v>
      </c>
      <c r="J14" s="27">
        <v>81</v>
      </c>
      <c r="K14" s="27">
        <v>402</v>
      </c>
      <c r="L14" s="27">
        <v>277</v>
      </c>
      <c r="M14" s="27">
        <v>90</v>
      </c>
      <c r="N14" s="27">
        <v>19</v>
      </c>
      <c r="O14" s="27">
        <v>9</v>
      </c>
      <c r="P14" s="28">
        <f t="shared" si="0"/>
        <v>10158</v>
      </c>
      <c r="Q14" s="11"/>
      <c r="R14" s="18" t="s">
        <v>9</v>
      </c>
      <c r="S14" s="27">
        <v>182</v>
      </c>
      <c r="T14" s="27">
        <v>245</v>
      </c>
      <c r="U14" s="28">
        <v>8102</v>
      </c>
      <c r="V14" s="27">
        <v>160</v>
      </c>
      <c r="W14" s="27">
        <v>316</v>
      </c>
      <c r="X14" s="27">
        <v>261</v>
      </c>
      <c r="Y14" s="27">
        <v>213</v>
      </c>
      <c r="Z14" s="27">
        <v>79</v>
      </c>
      <c r="AA14" s="27">
        <v>424</v>
      </c>
      <c r="AB14" s="27">
        <v>327</v>
      </c>
      <c r="AC14" s="27">
        <v>135</v>
      </c>
      <c r="AD14" s="27">
        <v>40</v>
      </c>
      <c r="AE14" s="27">
        <v>44</v>
      </c>
      <c r="AF14" s="28">
        <f t="shared" si="1"/>
        <v>10528</v>
      </c>
      <c r="AG14" s="6"/>
      <c r="AH14" s="6"/>
      <c r="AI14" s="6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2" customHeight="1" x14ac:dyDescent="0.35">
      <c r="A15" s="3"/>
      <c r="B15" s="18" t="s">
        <v>10</v>
      </c>
      <c r="C15" s="24">
        <v>169</v>
      </c>
      <c r="D15" s="25">
        <v>168</v>
      </c>
      <c r="E15" s="26">
        <v>7876</v>
      </c>
      <c r="F15" s="25">
        <v>127</v>
      </c>
      <c r="G15" s="25">
        <v>182</v>
      </c>
      <c r="H15" s="25">
        <v>131</v>
      </c>
      <c r="I15" s="25">
        <v>106</v>
      </c>
      <c r="J15" s="25">
        <v>89</v>
      </c>
      <c r="K15" s="25">
        <v>406</v>
      </c>
      <c r="L15" s="25">
        <v>260</v>
      </c>
      <c r="M15" s="25">
        <v>87</v>
      </c>
      <c r="N15" s="25">
        <v>22</v>
      </c>
      <c r="O15" s="25">
        <v>13</v>
      </c>
      <c r="P15" s="26">
        <f t="shared" si="0"/>
        <v>9636</v>
      </c>
      <c r="Q15" s="11"/>
      <c r="R15" s="18" t="s">
        <v>10</v>
      </c>
      <c r="S15" s="24">
        <v>179</v>
      </c>
      <c r="T15" s="25">
        <v>236</v>
      </c>
      <c r="U15" s="26">
        <v>8055</v>
      </c>
      <c r="V15" s="25">
        <v>166</v>
      </c>
      <c r="W15" s="25">
        <v>318</v>
      </c>
      <c r="X15" s="25">
        <v>261</v>
      </c>
      <c r="Y15" s="25">
        <v>208</v>
      </c>
      <c r="Z15" s="25">
        <v>79</v>
      </c>
      <c r="AA15" s="25">
        <v>431</v>
      </c>
      <c r="AB15" s="25">
        <v>318</v>
      </c>
      <c r="AC15" s="25">
        <v>137</v>
      </c>
      <c r="AD15" s="25">
        <v>39</v>
      </c>
      <c r="AE15" s="25">
        <v>46</v>
      </c>
      <c r="AF15" s="26">
        <f t="shared" si="1"/>
        <v>10473</v>
      </c>
      <c r="AG15" s="6"/>
      <c r="AH15" s="6"/>
      <c r="AI15" s="6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2" customHeight="1" x14ac:dyDescent="0.35">
      <c r="A16" s="3"/>
      <c r="B16" s="21" t="s">
        <v>11</v>
      </c>
      <c r="C16" s="31">
        <v>172</v>
      </c>
      <c r="D16" s="31">
        <v>157</v>
      </c>
      <c r="E16" s="32">
        <v>7764</v>
      </c>
      <c r="F16" s="31">
        <v>137</v>
      </c>
      <c r="G16" s="31">
        <v>190</v>
      </c>
      <c r="H16" s="31">
        <v>143</v>
      </c>
      <c r="I16" s="31">
        <v>112</v>
      </c>
      <c r="J16" s="31">
        <v>98</v>
      </c>
      <c r="K16" s="31">
        <v>403</v>
      </c>
      <c r="L16" s="31">
        <v>261</v>
      </c>
      <c r="M16" s="31">
        <v>86</v>
      </c>
      <c r="N16" s="31">
        <v>26</v>
      </c>
      <c r="O16" s="31">
        <v>11</v>
      </c>
      <c r="P16" s="32">
        <f t="shared" si="0"/>
        <v>9560</v>
      </c>
      <c r="Q16" s="11"/>
      <c r="R16" s="21" t="s">
        <v>11</v>
      </c>
      <c r="S16" s="31">
        <v>171</v>
      </c>
      <c r="T16" s="31">
        <v>237</v>
      </c>
      <c r="U16" s="32">
        <v>8007</v>
      </c>
      <c r="V16" s="31">
        <v>149</v>
      </c>
      <c r="W16" s="31">
        <v>311</v>
      </c>
      <c r="X16" s="31">
        <v>254</v>
      </c>
      <c r="Y16" s="31">
        <v>209</v>
      </c>
      <c r="Z16" s="31">
        <v>75</v>
      </c>
      <c r="AA16" s="31">
        <v>429</v>
      </c>
      <c r="AB16" s="31">
        <v>310</v>
      </c>
      <c r="AC16" s="31">
        <v>146</v>
      </c>
      <c r="AD16" s="31">
        <v>39</v>
      </c>
      <c r="AE16" s="31">
        <v>46</v>
      </c>
      <c r="AF16" s="32">
        <f t="shared" si="1"/>
        <v>10383</v>
      </c>
      <c r="AG16" s="6"/>
      <c r="AH16" s="6"/>
      <c r="AI16" s="6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6.75" customHeight="1" x14ac:dyDescent="0.3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6"/>
      <c r="AG17" s="6"/>
      <c r="AH17" s="6"/>
      <c r="AI17" s="6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3.5" customHeight="1" x14ac:dyDescent="0.35">
      <c r="A18" s="3"/>
      <c r="B18" s="51" t="s">
        <v>37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11"/>
      <c r="R18" s="22" t="s">
        <v>38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/>
      <c r="AI18" s="6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9.75" customHeight="1" x14ac:dyDescent="0.35">
      <c r="A19" s="3"/>
      <c r="B19" s="8"/>
      <c r="C19" s="9" t="s">
        <v>12</v>
      </c>
      <c r="D19" s="9" t="s">
        <v>23</v>
      </c>
      <c r="E19" s="9" t="s">
        <v>20</v>
      </c>
      <c r="F19" s="9" t="s">
        <v>13</v>
      </c>
      <c r="G19" s="9" t="s">
        <v>27</v>
      </c>
      <c r="H19" s="9" t="s">
        <v>22</v>
      </c>
      <c r="I19" s="9" t="s">
        <v>18</v>
      </c>
      <c r="J19" s="9" t="s">
        <v>19</v>
      </c>
      <c r="K19" s="9" t="s">
        <v>21</v>
      </c>
      <c r="L19" s="9" t="s">
        <v>14</v>
      </c>
      <c r="M19" s="9" t="s">
        <v>16</v>
      </c>
      <c r="N19" s="9" t="s">
        <v>17</v>
      </c>
      <c r="O19" s="9" t="s">
        <v>15</v>
      </c>
      <c r="P19" s="9" t="s">
        <v>30</v>
      </c>
      <c r="Q19" s="6"/>
      <c r="R19" s="8"/>
      <c r="S19" s="9" t="s">
        <v>12</v>
      </c>
      <c r="T19" s="9" t="s">
        <v>23</v>
      </c>
      <c r="U19" s="9" t="s">
        <v>20</v>
      </c>
      <c r="V19" s="9" t="s">
        <v>13</v>
      </c>
      <c r="W19" s="9" t="s">
        <v>27</v>
      </c>
      <c r="X19" s="9" t="s">
        <v>22</v>
      </c>
      <c r="Y19" s="9" t="s">
        <v>18</v>
      </c>
      <c r="Z19" s="9" t="s">
        <v>19</v>
      </c>
      <c r="AA19" s="9" t="s">
        <v>21</v>
      </c>
      <c r="AB19" s="9" t="s">
        <v>14</v>
      </c>
      <c r="AC19" s="9" t="s">
        <v>16</v>
      </c>
      <c r="AD19" s="9" t="s">
        <v>17</v>
      </c>
      <c r="AE19" s="9" t="s">
        <v>15</v>
      </c>
      <c r="AF19" s="9" t="s">
        <v>39</v>
      </c>
      <c r="AG19" s="9" t="s">
        <v>26</v>
      </c>
      <c r="AH19" s="6"/>
      <c r="AI19" s="6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12" customHeight="1" x14ac:dyDescent="0.35">
      <c r="A20" s="3"/>
      <c r="B20" s="18" t="s">
        <v>0</v>
      </c>
      <c r="C20" s="24">
        <f>C5+S5</f>
        <v>447</v>
      </c>
      <c r="D20" s="25">
        <f t="shared" ref="D20:O30" si="2">D5+T5</f>
        <v>505</v>
      </c>
      <c r="E20" s="26">
        <f t="shared" si="2"/>
        <v>19349</v>
      </c>
      <c r="F20" s="25">
        <f t="shared" si="2"/>
        <v>396</v>
      </c>
      <c r="G20" s="25">
        <f t="shared" si="2"/>
        <v>583</v>
      </c>
      <c r="H20" s="25">
        <f t="shared" si="2"/>
        <v>453</v>
      </c>
      <c r="I20" s="25">
        <f t="shared" si="2"/>
        <v>392</v>
      </c>
      <c r="J20" s="25">
        <f t="shared" si="2"/>
        <v>198</v>
      </c>
      <c r="K20" s="25">
        <f t="shared" si="2"/>
        <v>1003</v>
      </c>
      <c r="L20" s="25">
        <f t="shared" si="2"/>
        <v>664</v>
      </c>
      <c r="M20" s="25">
        <f t="shared" si="2"/>
        <v>259</v>
      </c>
      <c r="N20" s="25">
        <f t="shared" si="2"/>
        <v>81</v>
      </c>
      <c r="O20" s="25">
        <f t="shared" si="2"/>
        <v>64</v>
      </c>
      <c r="P20" s="26">
        <f>SUM(C20:O20)</f>
        <v>24394</v>
      </c>
      <c r="Q20" s="6"/>
      <c r="R20" s="18" t="s">
        <v>0</v>
      </c>
      <c r="S20" s="33">
        <f>C20/3439*100</f>
        <v>12.997964524571096</v>
      </c>
      <c r="T20" s="33">
        <f>D20/2959*100</f>
        <v>17.066576546130449</v>
      </c>
      <c r="U20" s="33">
        <f>E20/101138*100</f>
        <v>19.131285965710219</v>
      </c>
      <c r="V20" s="33">
        <f>F20/2799*100</f>
        <v>14.14790996784566</v>
      </c>
      <c r="W20" s="33">
        <f>G20/4310*100</f>
        <v>13.526682134570766</v>
      </c>
      <c r="X20" s="33">
        <f>H20/3001*100</f>
        <v>15.09496834388537</v>
      </c>
      <c r="Y20" s="33">
        <f>I20/2880*100</f>
        <v>13.611111111111111</v>
      </c>
      <c r="Z20" s="33">
        <f>J20/1379*100</f>
        <v>14.358230601885424</v>
      </c>
      <c r="AA20" s="33">
        <f>K20/8139*100</f>
        <v>12.323381250767907</v>
      </c>
      <c r="AB20" s="33">
        <f>L20/4734*100</f>
        <v>14.026193493874104</v>
      </c>
      <c r="AC20" s="33">
        <f>M20/1783*100</f>
        <v>14.526079641054404</v>
      </c>
      <c r="AD20" s="33">
        <f>N20/763*100</f>
        <v>10.615989515072084</v>
      </c>
      <c r="AE20" s="33">
        <f>O20/456*100</f>
        <v>14.035087719298245</v>
      </c>
      <c r="AF20" s="33">
        <f>P20/137780*100</f>
        <v>17.705037015532007</v>
      </c>
      <c r="AG20" s="33">
        <v>20.2</v>
      </c>
      <c r="AH20" s="6"/>
      <c r="AI20" s="6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12" customHeight="1" x14ac:dyDescent="0.35">
      <c r="A21" s="3"/>
      <c r="B21" s="18" t="s">
        <v>1</v>
      </c>
      <c r="C21" s="27">
        <f t="shared" ref="C21:E30" si="3">C6+S6</f>
        <v>438</v>
      </c>
      <c r="D21" s="27">
        <f t="shared" si="3"/>
        <v>494</v>
      </c>
      <c r="E21" s="29">
        <f>E6+U6</f>
        <v>19249</v>
      </c>
      <c r="F21" s="27">
        <f t="shared" si="2"/>
        <v>387</v>
      </c>
      <c r="G21" s="27">
        <f t="shared" si="2"/>
        <v>572</v>
      </c>
      <c r="H21" s="27">
        <f t="shared" si="2"/>
        <v>452</v>
      </c>
      <c r="I21" s="27">
        <f t="shared" si="2"/>
        <v>386</v>
      </c>
      <c r="J21" s="27">
        <f t="shared" si="2"/>
        <v>204</v>
      </c>
      <c r="K21" s="27">
        <f t="shared" si="2"/>
        <v>1016</v>
      </c>
      <c r="L21" s="27">
        <f t="shared" si="2"/>
        <v>668</v>
      </c>
      <c r="M21" s="27">
        <f t="shared" si="2"/>
        <v>252</v>
      </c>
      <c r="N21" s="27">
        <f t="shared" si="2"/>
        <v>74</v>
      </c>
      <c r="O21" s="27">
        <f t="shared" si="2"/>
        <v>63</v>
      </c>
      <c r="P21" s="28">
        <f t="shared" ref="P21:P30" si="4">SUM(C21:O21)</f>
        <v>24255</v>
      </c>
      <c r="Q21" s="6"/>
      <c r="R21" s="18" t="s">
        <v>1</v>
      </c>
      <c r="S21" s="34">
        <f>C21/3430*100</f>
        <v>12.769679300291545</v>
      </c>
      <c r="T21" s="34">
        <f>D21/2948*100</f>
        <v>16.757123473541384</v>
      </c>
      <c r="U21" s="34">
        <f>E21/101038*100</f>
        <v>19.051248045289888</v>
      </c>
      <c r="V21" s="34">
        <f>F21/2790*100</f>
        <v>13.870967741935484</v>
      </c>
      <c r="W21" s="34">
        <f>G21/4299*100</f>
        <v>13.305419865084902</v>
      </c>
      <c r="X21" s="34">
        <f>H21/3000*100</f>
        <v>15.066666666666666</v>
      </c>
      <c r="Y21" s="34">
        <f>I21/2874*100</f>
        <v>13.430758524704245</v>
      </c>
      <c r="Z21" s="34">
        <f>J21/1385*100</f>
        <v>14.729241877256319</v>
      </c>
      <c r="AA21" s="34">
        <f>K21/8152*100</f>
        <v>12.463199214916584</v>
      </c>
      <c r="AB21" s="34">
        <f>L21/4738*100</f>
        <v>14.098775854791052</v>
      </c>
      <c r="AC21" s="34">
        <f>M21/1776*100</f>
        <v>14.189189189189189</v>
      </c>
      <c r="AD21" s="34">
        <f>N21/756*100</f>
        <v>9.7883597883597879</v>
      </c>
      <c r="AE21" s="34">
        <f>O21/455*100</f>
        <v>13.846153846153847</v>
      </c>
      <c r="AF21" s="34">
        <f>P21/137641*100</f>
        <v>17.621929512281952</v>
      </c>
      <c r="AG21" s="34">
        <v>20.2</v>
      </c>
      <c r="AH21" s="6"/>
      <c r="AI21" s="6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12" customHeight="1" x14ac:dyDescent="0.35">
      <c r="A22" s="3"/>
      <c r="B22" s="18" t="s">
        <v>2</v>
      </c>
      <c r="C22" s="24">
        <f t="shared" si="3"/>
        <v>431</v>
      </c>
      <c r="D22" s="25">
        <f t="shared" si="3"/>
        <v>468</v>
      </c>
      <c r="E22" s="26">
        <f t="shared" si="3"/>
        <v>18810</v>
      </c>
      <c r="F22" s="25">
        <f t="shared" si="2"/>
        <v>369</v>
      </c>
      <c r="G22" s="25">
        <f t="shared" si="2"/>
        <v>553</v>
      </c>
      <c r="H22" s="25">
        <f t="shared" si="2"/>
        <v>447</v>
      </c>
      <c r="I22" s="25">
        <f t="shared" si="2"/>
        <v>371</v>
      </c>
      <c r="J22" s="25">
        <f t="shared" si="2"/>
        <v>195</v>
      </c>
      <c r="K22" s="25">
        <f t="shared" si="2"/>
        <v>977</v>
      </c>
      <c r="L22" s="25">
        <f t="shared" si="2"/>
        <v>654</v>
      </c>
      <c r="M22" s="25">
        <f t="shared" si="2"/>
        <v>254</v>
      </c>
      <c r="N22" s="25">
        <f t="shared" si="2"/>
        <v>74</v>
      </c>
      <c r="O22" s="25">
        <f t="shared" si="2"/>
        <v>60</v>
      </c>
      <c r="P22" s="26">
        <f t="shared" si="4"/>
        <v>23663</v>
      </c>
      <c r="Q22" s="6"/>
      <c r="R22" s="18" t="s">
        <v>2</v>
      </c>
      <c r="S22" s="33">
        <f>C22/3423*100</f>
        <v>12.591294186386213</v>
      </c>
      <c r="T22" s="33">
        <f>D22/2922*100</f>
        <v>16.016427104722791</v>
      </c>
      <c r="U22" s="33">
        <f>E22/100599*100</f>
        <v>18.697998986073419</v>
      </c>
      <c r="V22" s="33">
        <f>F22/2772*100</f>
        <v>13.311688311688311</v>
      </c>
      <c r="W22" s="33">
        <f>G22/4280*100</f>
        <v>12.920560747663551</v>
      </c>
      <c r="X22" s="33">
        <f>H22/2995*100</f>
        <v>14.924874791318866</v>
      </c>
      <c r="Y22" s="33">
        <f>I22/2859*100</f>
        <v>12.97656523259881</v>
      </c>
      <c r="Z22" s="33">
        <f>J22/1376*100</f>
        <v>14.171511627906977</v>
      </c>
      <c r="AA22" s="33">
        <f>K22/8113*100</f>
        <v>12.042401084678911</v>
      </c>
      <c r="AB22" s="33">
        <f>L22/4724*100</f>
        <v>13.84419983065199</v>
      </c>
      <c r="AC22" s="33">
        <f>M22/1778*100</f>
        <v>14.285714285714285</v>
      </c>
      <c r="AD22" s="33">
        <f>N22/756*100</f>
        <v>9.7883597883597879</v>
      </c>
      <c r="AE22" s="33">
        <f>O22/452*100</f>
        <v>13.274336283185843</v>
      </c>
      <c r="AF22" s="33">
        <f>P22/137049*100</f>
        <v>17.266087311837371</v>
      </c>
      <c r="AG22" s="33">
        <v>19.899999999999999</v>
      </c>
      <c r="AH22" s="6"/>
      <c r="AI22" s="6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2" customHeight="1" x14ac:dyDescent="0.35">
      <c r="A23" s="3"/>
      <c r="B23" s="18" t="s">
        <v>3</v>
      </c>
      <c r="C23" s="27">
        <f t="shared" si="3"/>
        <v>401</v>
      </c>
      <c r="D23" s="27">
        <f t="shared" si="3"/>
        <v>457</v>
      </c>
      <c r="E23" s="27">
        <f t="shared" si="3"/>
        <v>18443</v>
      </c>
      <c r="F23" s="27">
        <f t="shared" si="2"/>
        <v>354</v>
      </c>
      <c r="G23" s="27">
        <f t="shared" si="2"/>
        <v>560</v>
      </c>
      <c r="H23" s="27">
        <f t="shared" si="2"/>
        <v>439</v>
      </c>
      <c r="I23" s="27">
        <f t="shared" si="2"/>
        <v>366</v>
      </c>
      <c r="J23" s="27">
        <f t="shared" si="2"/>
        <v>186</v>
      </c>
      <c r="K23" s="27">
        <f t="shared" si="2"/>
        <v>957</v>
      </c>
      <c r="L23" s="27">
        <f t="shared" si="2"/>
        <v>656</v>
      </c>
      <c r="M23" s="27">
        <f t="shared" si="2"/>
        <v>250</v>
      </c>
      <c r="N23" s="27">
        <f t="shared" si="2"/>
        <v>72</v>
      </c>
      <c r="O23" s="27">
        <f t="shared" si="2"/>
        <v>58</v>
      </c>
      <c r="P23" s="28">
        <f t="shared" si="4"/>
        <v>23199</v>
      </c>
      <c r="Q23" s="6"/>
      <c r="R23" s="18" t="s">
        <v>3</v>
      </c>
      <c r="S23" s="34">
        <f>C23/3393*100</f>
        <v>11.818449749484232</v>
      </c>
      <c r="T23" s="34">
        <f>D23/2911*100</f>
        <v>15.699072483682583</v>
      </c>
      <c r="U23" s="34">
        <f>E23/100232*100</f>
        <v>18.400311277835421</v>
      </c>
      <c r="V23" s="34">
        <f>F23/2757*100</f>
        <v>12.840043525571273</v>
      </c>
      <c r="W23" s="34">
        <f>G23/4287*100</f>
        <v>13.062747842313973</v>
      </c>
      <c r="X23" s="34">
        <f>H23/2987*100</f>
        <v>14.697020421827922</v>
      </c>
      <c r="Y23" s="34">
        <f>I23/2854*100</f>
        <v>12.824106517168884</v>
      </c>
      <c r="Z23" s="34">
        <f>J23/1367*100</f>
        <v>13.606437454279444</v>
      </c>
      <c r="AA23" s="34">
        <f>K23/8093*100</f>
        <v>11.825033979982701</v>
      </c>
      <c r="AB23" s="34">
        <f>L23/4726*100</f>
        <v>13.880660177740161</v>
      </c>
      <c r="AC23" s="34">
        <f>M23/1774*100</f>
        <v>14.092446448703495</v>
      </c>
      <c r="AD23" s="34">
        <f>N23/754*100</f>
        <v>9.549071618037134</v>
      </c>
      <c r="AE23" s="34">
        <f>O23/450*100</f>
        <v>12.888888888888889</v>
      </c>
      <c r="AF23" s="34">
        <f>P23/136585*100</f>
        <v>16.985027638466889</v>
      </c>
      <c r="AG23" s="34">
        <v>19.5</v>
      </c>
      <c r="AH23" s="6"/>
      <c r="AI23" s="6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2" customHeight="1" x14ac:dyDescent="0.35">
      <c r="A24" s="3"/>
      <c r="B24" s="18" t="s">
        <v>4</v>
      </c>
      <c r="C24" s="24">
        <f t="shared" si="3"/>
        <v>398</v>
      </c>
      <c r="D24" s="25">
        <f t="shared" si="3"/>
        <v>451</v>
      </c>
      <c r="E24" s="24">
        <f t="shared" si="3"/>
        <v>18011</v>
      </c>
      <c r="F24" s="25">
        <f t="shared" si="2"/>
        <v>334</v>
      </c>
      <c r="G24" s="25">
        <f t="shared" si="2"/>
        <v>549</v>
      </c>
      <c r="H24" s="25">
        <f t="shared" si="2"/>
        <v>438</v>
      </c>
      <c r="I24" s="25">
        <f t="shared" si="2"/>
        <v>361</v>
      </c>
      <c r="J24" s="25">
        <f t="shared" si="2"/>
        <v>185</v>
      </c>
      <c r="K24" s="25">
        <f t="shared" si="2"/>
        <v>909</v>
      </c>
      <c r="L24" s="25">
        <f t="shared" si="2"/>
        <v>651</v>
      </c>
      <c r="M24" s="25">
        <f t="shared" si="2"/>
        <v>239</v>
      </c>
      <c r="N24" s="25">
        <f t="shared" si="2"/>
        <v>70</v>
      </c>
      <c r="O24" s="25">
        <f t="shared" si="2"/>
        <v>58</v>
      </c>
      <c r="P24" s="26">
        <f t="shared" si="4"/>
        <v>22654</v>
      </c>
      <c r="Q24" s="6"/>
      <c r="R24" s="18" t="s">
        <v>4</v>
      </c>
      <c r="S24" s="33">
        <f>C24/3390*100</f>
        <v>11.740412979351031</v>
      </c>
      <c r="T24" s="33">
        <f>D24/2905*100</f>
        <v>15.524956970740103</v>
      </c>
      <c r="U24" s="33">
        <f>E24/99800*100</f>
        <v>18.047094188376754</v>
      </c>
      <c r="V24" s="33">
        <f>F24/2737*100</f>
        <v>12.203142126415784</v>
      </c>
      <c r="W24" s="33">
        <f>G24/4276*100</f>
        <v>12.839101964452759</v>
      </c>
      <c r="X24" s="33">
        <f>H24/2986*100</f>
        <v>14.668452779638313</v>
      </c>
      <c r="Y24" s="33">
        <f>I24/2849*100</f>
        <v>12.671112671112672</v>
      </c>
      <c r="Z24" s="33">
        <f>J24/1366*100</f>
        <v>13.543191800878477</v>
      </c>
      <c r="AA24" s="33">
        <f>K24/8045*100</f>
        <v>11.29894344313238</v>
      </c>
      <c r="AB24" s="33">
        <f>L24/4721*100</f>
        <v>13.78945138741792</v>
      </c>
      <c r="AC24" s="33">
        <f>M24/1763*100</f>
        <v>13.556437889960296</v>
      </c>
      <c r="AD24" s="33">
        <f>N24/752*100</f>
        <v>9.3085106382978715</v>
      </c>
      <c r="AE24" s="33">
        <f>O24/450*100</f>
        <v>12.888888888888889</v>
      </c>
      <c r="AF24" s="33">
        <f>P24/136040*100</f>
        <v>16.652455160246987</v>
      </c>
      <c r="AG24" s="33">
        <v>19.2</v>
      </c>
      <c r="AH24" s="6"/>
      <c r="AI24" s="6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2" customHeight="1" x14ac:dyDescent="0.35">
      <c r="A25" s="3"/>
      <c r="B25" s="18" t="s">
        <v>5</v>
      </c>
      <c r="C25" s="27">
        <f t="shared" si="3"/>
        <v>399</v>
      </c>
      <c r="D25" s="27">
        <f t="shared" si="3"/>
        <v>461</v>
      </c>
      <c r="E25" s="27">
        <f t="shared" si="3"/>
        <v>17751</v>
      </c>
      <c r="F25" s="27">
        <f t="shared" si="2"/>
        <v>339</v>
      </c>
      <c r="G25" s="27">
        <f t="shared" si="2"/>
        <v>545</v>
      </c>
      <c r="H25" s="27">
        <f t="shared" si="2"/>
        <v>440</v>
      </c>
      <c r="I25" s="27">
        <f t="shared" si="2"/>
        <v>367</v>
      </c>
      <c r="J25" s="27">
        <f t="shared" si="2"/>
        <v>189</v>
      </c>
      <c r="K25" s="27">
        <f t="shared" si="2"/>
        <v>906</v>
      </c>
      <c r="L25" s="27">
        <f t="shared" si="2"/>
        <v>650</v>
      </c>
      <c r="M25" s="27">
        <f t="shared" si="2"/>
        <v>237</v>
      </c>
      <c r="N25" s="27">
        <f t="shared" si="2"/>
        <v>65</v>
      </c>
      <c r="O25" s="27">
        <f t="shared" si="2"/>
        <v>65</v>
      </c>
      <c r="P25" s="28">
        <f t="shared" si="4"/>
        <v>22414</v>
      </c>
      <c r="Q25" s="6"/>
      <c r="R25" s="18" t="s">
        <v>5</v>
      </c>
      <c r="S25" s="34">
        <f>C25/3391*100</f>
        <v>11.766440578000589</v>
      </c>
      <c r="T25" s="34">
        <f>D25/2915*100</f>
        <v>15.814751286449399</v>
      </c>
      <c r="U25" s="34">
        <f>E25/99540*100</f>
        <v>17.833031946955998</v>
      </c>
      <c r="V25" s="34">
        <f>F25/2742*100</f>
        <v>12.363238512035011</v>
      </c>
      <c r="W25" s="34">
        <f>G25/4272*100</f>
        <v>12.757490636704119</v>
      </c>
      <c r="X25" s="34">
        <f>H25/2988*100</f>
        <v>14.725568942436412</v>
      </c>
      <c r="Y25" s="34">
        <f>I25/2855*100</f>
        <v>12.854640980735551</v>
      </c>
      <c r="Z25" s="34">
        <f>J25/1370*100</f>
        <v>13.795620437956204</v>
      </c>
      <c r="AA25" s="34">
        <f>K25/8042*100</f>
        <v>11.265854265108182</v>
      </c>
      <c r="AB25" s="34">
        <f>L25/4720*100</f>
        <v>13.771186440677965</v>
      </c>
      <c r="AC25" s="34">
        <f>M25/1761*100</f>
        <v>13.458262350936966</v>
      </c>
      <c r="AD25" s="34">
        <f>N25/747*100</f>
        <v>8.7014725568942435</v>
      </c>
      <c r="AE25" s="34">
        <f>O25/457*100</f>
        <v>14.223194748358861</v>
      </c>
      <c r="AF25" s="34">
        <f>P25/135800*100</f>
        <v>16.505154639175256</v>
      </c>
      <c r="AG25" s="34">
        <v>19.100000000000001</v>
      </c>
      <c r="AH25" s="6"/>
      <c r="AI25" s="6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2" customHeight="1" x14ac:dyDescent="0.35">
      <c r="A26" s="3"/>
      <c r="B26" s="18" t="s">
        <v>6</v>
      </c>
      <c r="C26" s="24">
        <f t="shared" si="3"/>
        <v>392</v>
      </c>
      <c r="D26" s="25">
        <f t="shared" si="3"/>
        <v>445</v>
      </c>
      <c r="E26" s="24">
        <f t="shared" si="3"/>
        <v>17807</v>
      </c>
      <c r="F26" s="25">
        <f t="shared" si="2"/>
        <v>319</v>
      </c>
      <c r="G26" s="25">
        <f t="shared" si="2"/>
        <v>538</v>
      </c>
      <c r="H26" s="25">
        <f t="shared" si="2"/>
        <v>434</v>
      </c>
      <c r="I26" s="25">
        <f t="shared" si="2"/>
        <v>370</v>
      </c>
      <c r="J26" s="25">
        <f t="shared" si="2"/>
        <v>193</v>
      </c>
      <c r="K26" s="25">
        <f t="shared" si="2"/>
        <v>895</v>
      </c>
      <c r="L26" s="25">
        <f t="shared" si="2"/>
        <v>667</v>
      </c>
      <c r="M26" s="25">
        <f t="shared" si="2"/>
        <v>245</v>
      </c>
      <c r="N26" s="25">
        <f t="shared" si="2"/>
        <v>58</v>
      </c>
      <c r="O26" s="25">
        <f t="shared" si="2"/>
        <v>66</v>
      </c>
      <c r="P26" s="26">
        <f t="shared" si="4"/>
        <v>22429</v>
      </c>
      <c r="Q26" s="6"/>
      <c r="R26" s="18" t="s">
        <v>6</v>
      </c>
      <c r="S26" s="33">
        <f>C26/3384*100</f>
        <v>11.583924349881796</v>
      </c>
      <c r="T26" s="33">
        <f>D26/2899*100</f>
        <v>15.350120731286651</v>
      </c>
      <c r="U26" s="33">
        <f>E26/99596*100</f>
        <v>17.879232097674606</v>
      </c>
      <c r="V26" s="33">
        <f>F26/2722*100</f>
        <v>11.719324026451138</v>
      </c>
      <c r="W26" s="33">
        <f>G26/4265*100</f>
        <v>12.614302461899179</v>
      </c>
      <c r="X26" s="33">
        <f>H26/2982*100</f>
        <v>14.553990610328638</v>
      </c>
      <c r="Y26" s="33">
        <f>I26/2858*100</f>
        <v>12.946116165150453</v>
      </c>
      <c r="Z26" s="33">
        <f>J26/1374*100</f>
        <v>14.046579330422126</v>
      </c>
      <c r="AA26" s="33">
        <f>K26/8031*100</f>
        <v>11.144315776366581</v>
      </c>
      <c r="AB26" s="33">
        <f>L26/4737*100</f>
        <v>14.080641756385898</v>
      </c>
      <c r="AC26" s="33">
        <f>M26/1769*100</f>
        <v>13.849632560768796</v>
      </c>
      <c r="AD26" s="33">
        <f>N26/740*100</f>
        <v>7.8378378378378386</v>
      </c>
      <c r="AE26" s="33">
        <f>O26/458*100</f>
        <v>14.410480349344979</v>
      </c>
      <c r="AF26" s="33">
        <f>P26/135815*100</f>
        <v>16.514376173471266</v>
      </c>
      <c r="AG26" s="33">
        <v>19</v>
      </c>
      <c r="AH26" s="6"/>
      <c r="AI26" s="6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2" customHeight="1" x14ac:dyDescent="0.35">
      <c r="A27" s="3"/>
      <c r="B27" s="18" t="s">
        <v>7</v>
      </c>
      <c r="C27" s="27">
        <f t="shared" si="3"/>
        <v>381</v>
      </c>
      <c r="D27" s="27">
        <f t="shared" si="3"/>
        <v>429</v>
      </c>
      <c r="E27" s="27">
        <f t="shared" si="3"/>
        <v>17553</v>
      </c>
      <c r="F27" s="27">
        <f t="shared" si="2"/>
        <v>307</v>
      </c>
      <c r="G27" s="27">
        <f t="shared" si="2"/>
        <v>512</v>
      </c>
      <c r="H27" s="27">
        <f t="shared" si="2"/>
        <v>439</v>
      </c>
      <c r="I27" s="27">
        <f t="shared" si="2"/>
        <v>364</v>
      </c>
      <c r="J27" s="27">
        <f t="shared" si="2"/>
        <v>182</v>
      </c>
      <c r="K27" s="28">
        <f t="shared" si="2"/>
        <v>881</v>
      </c>
      <c r="L27" s="27">
        <f t="shared" si="2"/>
        <v>637</v>
      </c>
      <c r="M27" s="27">
        <f t="shared" si="2"/>
        <v>233</v>
      </c>
      <c r="N27" s="27">
        <f t="shared" si="2"/>
        <v>70</v>
      </c>
      <c r="O27" s="27">
        <f t="shared" si="2"/>
        <v>67</v>
      </c>
      <c r="P27" s="28">
        <f t="shared" si="4"/>
        <v>22055</v>
      </c>
      <c r="Q27" s="6"/>
      <c r="R27" s="18" t="s">
        <v>7</v>
      </c>
      <c r="S27" s="34">
        <f>C27/3373*100</f>
        <v>11.295582567447376</v>
      </c>
      <c r="T27" s="34">
        <f>D27/2883*100</f>
        <v>14.880332986472425</v>
      </c>
      <c r="U27" s="34">
        <f>E27/99342*100</f>
        <v>17.669263755511263</v>
      </c>
      <c r="V27" s="34">
        <f>F27/2710*100</f>
        <v>11.328413284132841</v>
      </c>
      <c r="W27" s="34">
        <f>G27/4239*100</f>
        <v>12.078320358575136</v>
      </c>
      <c r="X27" s="34">
        <f>H27/2987*100</f>
        <v>14.697020421827922</v>
      </c>
      <c r="Y27" s="34">
        <f>I27/2852*100</f>
        <v>12.76297335203366</v>
      </c>
      <c r="Z27" s="34">
        <f>J27/1363*100</f>
        <v>13.352898019075568</v>
      </c>
      <c r="AA27" s="34">
        <f>K27/8017*100</f>
        <v>10.98914806037171</v>
      </c>
      <c r="AB27" s="34">
        <f>L27/4707*100</f>
        <v>13.533035903972806</v>
      </c>
      <c r="AC27" s="34">
        <f>M27/1757*100</f>
        <v>13.261240751280592</v>
      </c>
      <c r="AD27" s="34">
        <f>N27/752*100</f>
        <v>9.3085106382978715</v>
      </c>
      <c r="AE27" s="34">
        <f>O27/459*100</f>
        <v>14.596949891067537</v>
      </c>
      <c r="AF27" s="34">
        <f>P27/135441*100</f>
        <v>16.283843149415613</v>
      </c>
      <c r="AG27" s="34">
        <v>18.8</v>
      </c>
      <c r="AH27" s="6"/>
      <c r="AI27" s="6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2" customHeight="1" x14ac:dyDescent="0.35">
      <c r="A28" s="3"/>
      <c r="B28" s="18" t="s">
        <v>8</v>
      </c>
      <c r="C28" s="24">
        <f t="shared" si="3"/>
        <v>368</v>
      </c>
      <c r="D28" s="25">
        <f t="shared" si="3"/>
        <v>415</v>
      </c>
      <c r="E28" s="24">
        <f t="shared" si="3"/>
        <v>17083</v>
      </c>
      <c r="F28" s="25">
        <f t="shared" si="2"/>
        <v>286</v>
      </c>
      <c r="G28" s="25">
        <f t="shared" si="2"/>
        <v>513</v>
      </c>
      <c r="H28" s="24">
        <f t="shared" si="2"/>
        <v>420</v>
      </c>
      <c r="I28" s="25">
        <f t="shared" si="2"/>
        <v>351</v>
      </c>
      <c r="J28" s="25">
        <f t="shared" si="2"/>
        <v>167</v>
      </c>
      <c r="K28" s="25">
        <f t="shared" si="2"/>
        <v>854</v>
      </c>
      <c r="L28" s="25">
        <f t="shared" si="2"/>
        <v>607</v>
      </c>
      <c r="M28" s="25">
        <f t="shared" si="2"/>
        <v>227</v>
      </c>
      <c r="N28" s="25">
        <f t="shared" si="2"/>
        <v>61</v>
      </c>
      <c r="O28" s="25">
        <f t="shared" si="2"/>
        <v>58</v>
      </c>
      <c r="P28" s="26">
        <f t="shared" si="4"/>
        <v>21410</v>
      </c>
      <c r="Q28" s="6"/>
      <c r="R28" s="18" t="s">
        <v>8</v>
      </c>
      <c r="S28" s="50">
        <f>C28/3360*100</f>
        <v>10.952380952380953</v>
      </c>
      <c r="T28" s="50">
        <f>D28/2869*100</f>
        <v>14.46497037295225</v>
      </c>
      <c r="U28" s="50">
        <f>E28/98872*100</f>
        <v>17.277894651670849</v>
      </c>
      <c r="V28" s="50">
        <f>F28/2689*100</f>
        <v>10.635924135366308</v>
      </c>
      <c r="W28" s="50">
        <f>G28/4240*100</f>
        <v>12.099056603773585</v>
      </c>
      <c r="X28" s="50">
        <f>H28/2968*100</f>
        <v>14.150943396226415</v>
      </c>
      <c r="Y28" s="50">
        <f>I28/2839*100</f>
        <v>12.363508277562522</v>
      </c>
      <c r="Z28" s="50">
        <f>J28/1348*100</f>
        <v>12.388724035608309</v>
      </c>
      <c r="AA28" s="50">
        <f>K28/7990*100</f>
        <v>10.688360450563204</v>
      </c>
      <c r="AB28" s="50">
        <f>L28/4677*100</f>
        <v>12.978404960444728</v>
      </c>
      <c r="AC28" s="50">
        <f>M28/1751*100</f>
        <v>12.964020559680185</v>
      </c>
      <c r="AD28" s="50">
        <f>N28/743*100</f>
        <v>8.2099596231493948</v>
      </c>
      <c r="AE28" s="50">
        <f>O28/450*100</f>
        <v>12.888888888888889</v>
      </c>
      <c r="AF28" s="50">
        <f>P28/134796*100</f>
        <v>15.883260630879253</v>
      </c>
      <c r="AG28" s="33">
        <v>18.5</v>
      </c>
      <c r="AH28" s="6"/>
      <c r="AI28" s="6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2" customHeight="1" x14ac:dyDescent="0.35">
      <c r="A29" s="3"/>
      <c r="B29" s="18" t="s">
        <v>9</v>
      </c>
      <c r="C29" s="27">
        <f t="shared" si="3"/>
        <v>366</v>
      </c>
      <c r="D29" s="27">
        <f t="shared" si="3"/>
        <v>414</v>
      </c>
      <c r="E29" s="27">
        <f t="shared" si="3"/>
        <v>16423</v>
      </c>
      <c r="F29" s="27">
        <f t="shared" si="2"/>
        <v>286</v>
      </c>
      <c r="G29" s="30">
        <f t="shared" si="2"/>
        <v>517</v>
      </c>
      <c r="H29" s="27">
        <f t="shared" si="2"/>
        <v>415</v>
      </c>
      <c r="I29" s="27">
        <f t="shared" si="2"/>
        <v>338</v>
      </c>
      <c r="J29" s="27">
        <f t="shared" si="2"/>
        <v>160</v>
      </c>
      <c r="K29" s="30">
        <f t="shared" si="2"/>
        <v>826</v>
      </c>
      <c r="L29" s="27">
        <f t="shared" si="2"/>
        <v>604</v>
      </c>
      <c r="M29" s="27">
        <f t="shared" si="2"/>
        <v>225</v>
      </c>
      <c r="N29" s="27">
        <f t="shared" si="2"/>
        <v>59</v>
      </c>
      <c r="O29" s="27">
        <f t="shared" si="2"/>
        <v>53</v>
      </c>
      <c r="P29" s="28">
        <f t="shared" si="4"/>
        <v>20686</v>
      </c>
      <c r="Q29" s="6"/>
      <c r="R29" s="18" t="s">
        <v>9</v>
      </c>
      <c r="S29" s="41">
        <f>C29/'AK Utrik'!B30*100</f>
        <v>10.899344848123883</v>
      </c>
      <c r="T29" s="34">
        <f>D29/'AK Utrik'!C30*100</f>
        <v>14.435146443514643</v>
      </c>
      <c r="U29" s="34">
        <f>E29/'AK Utrik'!D30*100</f>
        <v>16.721989166293323</v>
      </c>
      <c r="V29" s="34">
        <f>F29/'AK Utrik'!E30*100</f>
        <v>10.635924135366308</v>
      </c>
      <c r="W29" s="34">
        <f>G29/'AK Utrik'!F30*100</f>
        <v>12.181903864278983</v>
      </c>
      <c r="X29" s="34">
        <f>H29/'AK Utrik'!G30*100</f>
        <v>14.00607492406345</v>
      </c>
      <c r="Y29" s="34">
        <f>I29/'AK Utrik'!H30*100</f>
        <v>11.960368011323427</v>
      </c>
      <c r="Z29" s="34">
        <f>J29/'AK Utrik'!I30*100</f>
        <v>11.931394481730052</v>
      </c>
      <c r="AA29" s="34">
        <f>K29/'AK Utrik'!J30*100</f>
        <v>10.374277819643305</v>
      </c>
      <c r="AB29" s="34">
        <f>L29/'AK Utrik'!K30*100</f>
        <v>12.922550278134359</v>
      </c>
      <c r="AC29" s="34">
        <f>M29/'AK Utrik'!L30*100</f>
        <v>12.864493996569468</v>
      </c>
      <c r="AD29" s="34">
        <f>N29/'AK Utrik'!M30*100</f>
        <v>7.9622132253711202</v>
      </c>
      <c r="AE29" s="34">
        <f>O29/'AK Utrik'!N30*100</f>
        <v>11.910112359550562</v>
      </c>
      <c r="AF29" s="34">
        <f>P29/'AK Utrik'!O30*100</f>
        <v>15.429023211408795</v>
      </c>
      <c r="AG29" s="34">
        <v>18.100000000000001</v>
      </c>
      <c r="AH29" s="6"/>
      <c r="AI29" s="6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2" customHeight="1" x14ac:dyDescent="0.35">
      <c r="A30" s="3"/>
      <c r="B30" s="18" t="s">
        <v>10</v>
      </c>
      <c r="C30" s="24">
        <f t="shared" si="3"/>
        <v>348</v>
      </c>
      <c r="D30" s="25">
        <f t="shared" si="3"/>
        <v>404</v>
      </c>
      <c r="E30" s="24">
        <f t="shared" si="3"/>
        <v>15931</v>
      </c>
      <c r="F30" s="25">
        <f t="shared" si="2"/>
        <v>293</v>
      </c>
      <c r="G30" s="25">
        <f>G15+W15</f>
        <v>500</v>
      </c>
      <c r="H30" s="25">
        <f t="shared" si="2"/>
        <v>392</v>
      </c>
      <c r="I30" s="25">
        <f t="shared" si="2"/>
        <v>314</v>
      </c>
      <c r="J30" s="25">
        <f t="shared" si="2"/>
        <v>168</v>
      </c>
      <c r="K30" s="25">
        <f t="shared" si="2"/>
        <v>837</v>
      </c>
      <c r="L30" s="25">
        <f t="shared" si="2"/>
        <v>578</v>
      </c>
      <c r="M30" s="25">
        <f t="shared" si="2"/>
        <v>224</v>
      </c>
      <c r="N30" s="25">
        <f t="shared" si="2"/>
        <v>61</v>
      </c>
      <c r="O30" s="25">
        <f t="shared" si="2"/>
        <v>59</v>
      </c>
      <c r="P30" s="26">
        <f t="shared" si="4"/>
        <v>20109</v>
      </c>
      <c r="Q30" s="6"/>
      <c r="R30" s="18" t="s">
        <v>10</v>
      </c>
      <c r="S30" s="33">
        <f>C30/3340*100</f>
        <v>10.419161676646707</v>
      </c>
      <c r="T30" s="33">
        <f>D30/2858*100</f>
        <v>14.135759272218335</v>
      </c>
      <c r="U30" s="33">
        <f>E30/97720*100</f>
        <v>16.302701596397874</v>
      </c>
      <c r="V30" s="33">
        <f>F30/2940*100</f>
        <v>9.965986394557822</v>
      </c>
      <c r="W30" s="33">
        <f>G30/4227*100</f>
        <v>11.828720132481665</v>
      </c>
      <c r="X30" s="33">
        <f>H30/2940*100</f>
        <v>13.333333333333334</v>
      </c>
      <c r="Y30" s="33">
        <f>I30/2802*100</f>
        <v>11.206281227694504</v>
      </c>
      <c r="Z30" s="33">
        <f>J30/1349*100</f>
        <v>12.45366938472943</v>
      </c>
      <c r="AA30" s="33">
        <f>K30/7973*100</f>
        <v>10.497930515489779</v>
      </c>
      <c r="AB30" s="33">
        <f>L30/4648*100</f>
        <v>12.435456110154904</v>
      </c>
      <c r="AC30" s="33">
        <f>M30/1748*100</f>
        <v>12.814645308924485</v>
      </c>
      <c r="AD30" s="33">
        <f>N30/743*100</f>
        <v>8.2099596231493948</v>
      </c>
      <c r="AE30" s="33">
        <f>O30/451*100</f>
        <v>13.082039911308204</v>
      </c>
      <c r="AF30" s="33">
        <f>P30/133495*100</f>
        <v>15.063485523802388</v>
      </c>
      <c r="AG30" s="33">
        <v>17.8</v>
      </c>
      <c r="AH30" s="6"/>
      <c r="AI30" s="6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2" customHeight="1" x14ac:dyDescent="0.35">
      <c r="A31" s="3"/>
      <c r="B31" s="21" t="s">
        <v>11</v>
      </c>
      <c r="C31" s="27">
        <f t="shared" ref="C31:E31" si="5">C16+S16</f>
        <v>343</v>
      </c>
      <c r="D31" s="27">
        <f t="shared" ref="D31" si="6">D16+T16</f>
        <v>394</v>
      </c>
      <c r="E31" s="27">
        <f t="shared" si="5"/>
        <v>15771</v>
      </c>
      <c r="F31" s="27">
        <f t="shared" ref="F31" si="7">F16+V16</f>
        <v>286</v>
      </c>
      <c r="G31" s="30">
        <f t="shared" ref="G31" si="8">G16+W16</f>
        <v>501</v>
      </c>
      <c r="H31" s="27">
        <f t="shared" ref="H31" si="9">H16+X16</f>
        <v>397</v>
      </c>
      <c r="I31" s="27">
        <f t="shared" ref="I31" si="10">I16+Y16</f>
        <v>321</v>
      </c>
      <c r="J31" s="27">
        <f t="shared" ref="J31" si="11">J16+Z16</f>
        <v>173</v>
      </c>
      <c r="K31" s="30">
        <f t="shared" ref="K31" si="12">K16+AA16</f>
        <v>832</v>
      </c>
      <c r="L31" s="27">
        <f t="shared" ref="L31" si="13">L16+AB16</f>
        <v>571</v>
      </c>
      <c r="M31" s="27">
        <f t="shared" ref="M31" si="14">M16+AC16</f>
        <v>232</v>
      </c>
      <c r="N31" s="27">
        <f t="shared" ref="N31" si="15">N16+AD16</f>
        <v>65</v>
      </c>
      <c r="O31" s="27">
        <f t="shared" ref="O31" si="16">O16+AE16</f>
        <v>57</v>
      </c>
      <c r="P31" s="28">
        <f t="shared" ref="P31" si="17">SUM(C31:O31)</f>
        <v>19943</v>
      </c>
      <c r="Q31" s="6"/>
      <c r="R31" s="21" t="s">
        <v>11</v>
      </c>
      <c r="S31" s="41">
        <f>C31/3335*100</f>
        <v>10.284857571214392</v>
      </c>
      <c r="T31" s="41">
        <f>D31/2848*100</f>
        <v>13.834269662921347</v>
      </c>
      <c r="U31" s="41">
        <f>E31/97560*100</f>
        <v>16.165436654366545</v>
      </c>
      <c r="V31" s="41">
        <f>F31/2689*100</f>
        <v>10.635924135366308</v>
      </c>
      <c r="W31" s="41">
        <f>G31/4228*100</f>
        <v>11.849574266792811</v>
      </c>
      <c r="X31" s="41">
        <f>H31/2945*100</f>
        <v>13.480475382003396</v>
      </c>
      <c r="Y31" s="41">
        <f>I31/2809*100</f>
        <v>11.42755428978284</v>
      </c>
      <c r="Z31" s="41">
        <f>J31/1354*100</f>
        <v>12.776957163958642</v>
      </c>
      <c r="AA31" s="41">
        <f>K31/7968*100</f>
        <v>10.441767068273093</v>
      </c>
      <c r="AB31" s="41">
        <f>L31/4641*100</f>
        <v>12.303382891618185</v>
      </c>
      <c r="AC31" s="41">
        <f>M31/1756*100</f>
        <v>13.211845102505695</v>
      </c>
      <c r="AD31" s="41">
        <f>N31/747*100</f>
        <v>8.7014725568942435</v>
      </c>
      <c r="AE31" s="41">
        <f>O31/449*100</f>
        <v>12.694877505567929</v>
      </c>
      <c r="AF31" s="34">
        <f>P31/133329*100</f>
        <v>14.957736126424109</v>
      </c>
      <c r="AG31" s="34">
        <v>17.8</v>
      </c>
      <c r="AH31" s="6"/>
      <c r="AI31" s="6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3.5" x14ac:dyDescent="0.3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5"/>
      <c r="U32" s="16"/>
      <c r="V32" s="16"/>
      <c r="W32" s="16"/>
      <c r="X32" s="16"/>
      <c r="Y32" s="16"/>
      <c r="Z32" s="16"/>
      <c r="AA32" s="6"/>
      <c r="AB32" s="6"/>
      <c r="AC32" s="6"/>
      <c r="AD32" s="6"/>
      <c r="AE32" s="6"/>
      <c r="AF32" s="6"/>
      <c r="AG32" s="6"/>
      <c r="AH32" s="6"/>
      <c r="AI32" s="6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3.5" x14ac:dyDescent="0.3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5"/>
      <c r="U33" s="16"/>
      <c r="V33" s="16"/>
      <c r="W33" s="16"/>
      <c r="X33" s="16"/>
      <c r="Y33" s="16"/>
      <c r="Z33" s="16"/>
      <c r="AA33" s="6"/>
      <c r="AB33" s="6"/>
      <c r="AC33" s="6"/>
      <c r="AD33" s="6"/>
      <c r="AE33" s="6"/>
      <c r="AF33" s="6"/>
      <c r="AG33" s="6"/>
      <c r="AH33" s="6"/>
      <c r="AI33" s="6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3.5" x14ac:dyDescent="0.3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3.5" x14ac:dyDescent="0.3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3.5" x14ac:dyDescent="0.35">
      <c r="A36" s="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3.5" x14ac:dyDescent="0.35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3.5" x14ac:dyDescent="0.3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3.5" x14ac:dyDescent="0.35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3.5" x14ac:dyDescent="0.35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3.5" x14ac:dyDescent="0.3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3.5" x14ac:dyDescent="0.3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3.5" x14ac:dyDescent="0.3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3.5" x14ac:dyDescent="0.3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3.5" x14ac:dyDescent="0.3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3.5" x14ac:dyDescent="0.3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3.5" x14ac:dyDescent="0.3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3.5" x14ac:dyDescent="0.3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3.5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3.5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3.5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3.5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3.5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3.5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3.5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3.5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3.5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3.5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3.5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3.5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3.5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3.5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3.5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3.5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3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3.5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3.5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3.5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3.5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3.5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3.5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3.5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13.5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3.5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3.5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3.5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3.5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3.5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3.5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3.5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3.5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3.5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3.5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3.5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3.5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3.5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3.5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3.5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3.5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3.5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3.5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3.5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3.5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3.5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54" ht="13.5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54" ht="13.5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13.5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13.5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13.5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13.5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13.5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13.5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13.5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13.5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13.5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13.5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13.5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13.5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13.5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13.5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13.5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13.5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13.5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13.5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13.5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13.5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13.5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13.5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13.5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13.5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13.5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13.5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13.5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13.5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13.5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13.5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13.5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13.5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13.5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13.5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13.5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13.5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13.5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13.5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13.5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13.5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13.5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13.5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13.5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13.5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13.5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13.5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13.5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13.5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13.5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13.5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3.5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13.5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13.5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13.5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13.5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13.5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13.5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13.5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3.5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13.5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13.5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13.5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13.5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13.5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13.5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13.5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13.5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13.5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13.5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13.5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13.5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13.5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13.5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13.5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13.5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13.5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13.5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13.5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13.5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</sheetData>
  <mergeCells count="3">
    <mergeCell ref="B3:P3"/>
    <mergeCell ref="R3:AF3"/>
    <mergeCell ref="B18:P18"/>
  </mergeCells>
  <pageMargins left="0.25" right="0.25" top="0.75" bottom="0.75" header="0.3" footer="0.3"/>
  <pageSetup paperSize="8" orientation="landscape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96A0-C419-471A-988D-003CBA0B3C95}">
  <dimension ref="A1:O30"/>
  <sheetViews>
    <sheetView workbookViewId="0">
      <selection activeCell="A17" sqref="A17:XFD17"/>
    </sheetView>
  </sheetViews>
  <sheetFormatPr defaultRowHeight="12.5" x14ac:dyDescent="0.25"/>
  <sheetData>
    <row r="1" spans="1:11" x14ac:dyDescent="0.25">
      <c r="B1" t="s">
        <v>43</v>
      </c>
    </row>
    <row r="2" spans="1:11" x14ac:dyDescent="0.25">
      <c r="A2" t="s">
        <v>44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</row>
    <row r="3" spans="1:11" x14ac:dyDescent="0.25">
      <c r="A3" t="s">
        <v>12</v>
      </c>
      <c r="B3">
        <v>3439</v>
      </c>
      <c r="C3">
        <v>3430</v>
      </c>
      <c r="D3">
        <v>3423</v>
      </c>
      <c r="E3">
        <v>3393</v>
      </c>
      <c r="F3">
        <v>3390</v>
      </c>
      <c r="G3">
        <v>3391</v>
      </c>
      <c r="H3">
        <v>3384</v>
      </c>
      <c r="I3">
        <v>3373</v>
      </c>
      <c r="J3">
        <v>3360</v>
      </c>
      <c r="K3">
        <v>3358</v>
      </c>
    </row>
    <row r="4" spans="1:11" x14ac:dyDescent="0.25">
      <c r="A4" t="s">
        <v>23</v>
      </c>
      <c r="B4">
        <v>2959</v>
      </c>
      <c r="C4">
        <v>2948</v>
      </c>
      <c r="D4">
        <v>2922</v>
      </c>
      <c r="E4">
        <v>2911</v>
      </c>
      <c r="F4">
        <v>2905</v>
      </c>
      <c r="G4">
        <v>2915</v>
      </c>
      <c r="H4">
        <v>2899</v>
      </c>
      <c r="I4">
        <v>2883</v>
      </c>
      <c r="J4">
        <v>2869</v>
      </c>
      <c r="K4">
        <v>2868</v>
      </c>
    </row>
    <row r="5" spans="1:11" x14ac:dyDescent="0.25">
      <c r="A5" t="s">
        <v>20</v>
      </c>
      <c r="B5">
        <v>101138</v>
      </c>
      <c r="C5">
        <v>101038</v>
      </c>
      <c r="D5">
        <v>100599</v>
      </c>
      <c r="E5">
        <v>100232</v>
      </c>
      <c r="F5">
        <v>99800</v>
      </c>
      <c r="G5">
        <v>99540</v>
      </c>
      <c r="H5">
        <v>99596</v>
      </c>
      <c r="I5">
        <v>99342</v>
      </c>
      <c r="J5">
        <v>98872</v>
      </c>
      <c r="K5">
        <v>98212</v>
      </c>
    </row>
    <row r="6" spans="1:11" x14ac:dyDescent="0.25">
      <c r="A6" t="s">
        <v>13</v>
      </c>
      <c r="B6">
        <v>2799</v>
      </c>
      <c r="C6">
        <v>2790</v>
      </c>
      <c r="D6">
        <v>2772</v>
      </c>
      <c r="E6">
        <v>2757</v>
      </c>
      <c r="F6">
        <v>2737</v>
      </c>
      <c r="G6">
        <v>2742</v>
      </c>
      <c r="H6">
        <v>2722</v>
      </c>
      <c r="I6">
        <v>2710</v>
      </c>
      <c r="J6">
        <v>2689</v>
      </c>
      <c r="K6">
        <v>2689</v>
      </c>
    </row>
    <row r="7" spans="1:11" x14ac:dyDescent="0.25">
      <c r="A7" t="s">
        <v>27</v>
      </c>
      <c r="B7">
        <v>4310</v>
      </c>
      <c r="C7">
        <v>4299</v>
      </c>
      <c r="D7">
        <v>4280</v>
      </c>
      <c r="E7">
        <v>4287</v>
      </c>
      <c r="F7">
        <v>4276</v>
      </c>
      <c r="G7">
        <v>4272</v>
      </c>
      <c r="H7">
        <v>4265</v>
      </c>
      <c r="I7">
        <v>4239</v>
      </c>
      <c r="J7">
        <v>4240</v>
      </c>
      <c r="K7">
        <v>4244</v>
      </c>
    </row>
    <row r="8" spans="1:11" x14ac:dyDescent="0.25">
      <c r="A8" t="s">
        <v>22</v>
      </c>
      <c r="B8">
        <v>3001</v>
      </c>
      <c r="C8">
        <v>3000</v>
      </c>
      <c r="D8">
        <v>2995</v>
      </c>
      <c r="E8">
        <v>2987</v>
      </c>
      <c r="F8">
        <v>2986</v>
      </c>
      <c r="G8">
        <v>2988</v>
      </c>
      <c r="H8">
        <v>2982</v>
      </c>
      <c r="I8">
        <v>2987</v>
      </c>
      <c r="J8">
        <v>2968</v>
      </c>
      <c r="K8">
        <v>2963</v>
      </c>
    </row>
    <row r="9" spans="1:11" x14ac:dyDescent="0.25">
      <c r="A9" t="s">
        <v>18</v>
      </c>
      <c r="B9">
        <v>2880</v>
      </c>
      <c r="C9">
        <v>2874</v>
      </c>
      <c r="D9">
        <v>2859</v>
      </c>
      <c r="E9">
        <v>2854</v>
      </c>
      <c r="F9">
        <v>2849</v>
      </c>
      <c r="G9">
        <v>2855</v>
      </c>
      <c r="H9">
        <v>2858</v>
      </c>
      <c r="I9">
        <v>2852</v>
      </c>
      <c r="J9">
        <v>2839</v>
      </c>
      <c r="K9">
        <v>2826</v>
      </c>
    </row>
    <row r="10" spans="1:11" x14ac:dyDescent="0.25">
      <c r="A10" t="s">
        <v>19</v>
      </c>
      <c r="B10">
        <v>1379</v>
      </c>
      <c r="C10">
        <v>1385</v>
      </c>
      <c r="D10">
        <v>1376</v>
      </c>
      <c r="E10">
        <v>1367</v>
      </c>
      <c r="F10">
        <v>1366</v>
      </c>
      <c r="G10">
        <v>1370</v>
      </c>
      <c r="H10">
        <v>1374</v>
      </c>
      <c r="I10">
        <v>1363</v>
      </c>
      <c r="J10">
        <v>1348</v>
      </c>
      <c r="K10">
        <v>1341</v>
      </c>
    </row>
    <row r="11" spans="1:11" x14ac:dyDescent="0.25">
      <c r="A11" t="s">
        <v>21</v>
      </c>
      <c r="B11">
        <v>8139</v>
      </c>
      <c r="C11">
        <v>8152</v>
      </c>
      <c r="D11">
        <v>8113</v>
      </c>
      <c r="E11">
        <v>8093</v>
      </c>
      <c r="F11">
        <v>8045</v>
      </c>
      <c r="G11">
        <v>8042</v>
      </c>
      <c r="H11">
        <v>8031</v>
      </c>
      <c r="I11">
        <v>8017</v>
      </c>
      <c r="J11">
        <v>7990</v>
      </c>
      <c r="K11">
        <v>7962</v>
      </c>
    </row>
    <row r="12" spans="1:11" x14ac:dyDescent="0.25">
      <c r="A12" t="s">
        <v>14</v>
      </c>
      <c r="B12">
        <v>4734</v>
      </c>
      <c r="C12">
        <v>4738</v>
      </c>
      <c r="D12">
        <v>4724</v>
      </c>
      <c r="E12">
        <v>4726</v>
      </c>
      <c r="F12">
        <v>4721</v>
      </c>
      <c r="G12">
        <v>4720</v>
      </c>
      <c r="H12">
        <v>4737</v>
      </c>
      <c r="I12">
        <v>4707</v>
      </c>
      <c r="J12">
        <v>4677</v>
      </c>
      <c r="K12">
        <v>4674</v>
      </c>
    </row>
    <row r="13" spans="1:11" x14ac:dyDescent="0.25">
      <c r="A13" t="s">
        <v>16</v>
      </c>
      <c r="B13">
        <v>1783</v>
      </c>
      <c r="C13">
        <v>1776</v>
      </c>
      <c r="D13">
        <v>1778</v>
      </c>
      <c r="E13">
        <v>1774</v>
      </c>
      <c r="F13">
        <v>1763</v>
      </c>
      <c r="G13">
        <v>1761</v>
      </c>
      <c r="H13">
        <v>1769</v>
      </c>
      <c r="I13">
        <v>1757</v>
      </c>
      <c r="J13">
        <v>1751</v>
      </c>
      <c r="K13">
        <v>1749</v>
      </c>
    </row>
    <row r="14" spans="1:11" x14ac:dyDescent="0.25">
      <c r="A14" t="s">
        <v>17</v>
      </c>
      <c r="B14">
        <v>763</v>
      </c>
      <c r="C14">
        <v>756</v>
      </c>
      <c r="D14">
        <v>756</v>
      </c>
      <c r="E14">
        <v>754</v>
      </c>
      <c r="F14">
        <v>752</v>
      </c>
      <c r="G14">
        <v>747</v>
      </c>
      <c r="H14">
        <v>740</v>
      </c>
      <c r="I14">
        <v>752</v>
      </c>
      <c r="J14">
        <v>743</v>
      </c>
      <c r="K14">
        <v>741</v>
      </c>
    </row>
    <row r="15" spans="1:11" x14ac:dyDescent="0.25">
      <c r="A15" t="s">
        <v>15</v>
      </c>
      <c r="B15">
        <v>456</v>
      </c>
      <c r="C15">
        <v>455</v>
      </c>
      <c r="D15">
        <v>452</v>
      </c>
      <c r="E15">
        <v>450</v>
      </c>
      <c r="F15">
        <v>450</v>
      </c>
      <c r="G15">
        <v>457</v>
      </c>
      <c r="H15">
        <v>458</v>
      </c>
      <c r="I15">
        <v>459</v>
      </c>
      <c r="J15">
        <v>450</v>
      </c>
      <c r="K15">
        <v>445</v>
      </c>
    </row>
    <row r="16" spans="1:11" x14ac:dyDescent="0.25">
      <c r="A16" t="s">
        <v>39</v>
      </c>
      <c r="B16">
        <v>137780</v>
      </c>
      <c r="C16">
        <v>137641</v>
      </c>
      <c r="D16">
        <v>137049</v>
      </c>
      <c r="E16">
        <v>136585</v>
      </c>
      <c r="F16">
        <v>136040</v>
      </c>
      <c r="G16">
        <v>135800</v>
      </c>
      <c r="H16">
        <v>135815</v>
      </c>
      <c r="I16">
        <v>135441</v>
      </c>
      <c r="J16">
        <v>134796</v>
      </c>
      <c r="K16">
        <v>134072</v>
      </c>
    </row>
    <row r="20" spans="1:15" x14ac:dyDescent="0.25">
      <c r="A20" t="s">
        <v>44</v>
      </c>
      <c r="B20" t="s">
        <v>12</v>
      </c>
      <c r="C20" t="s">
        <v>23</v>
      </c>
      <c r="D20" t="s">
        <v>20</v>
      </c>
      <c r="E20" t="s">
        <v>13</v>
      </c>
      <c r="F20" t="s">
        <v>27</v>
      </c>
      <c r="G20" t="s">
        <v>22</v>
      </c>
      <c r="H20" t="s">
        <v>18</v>
      </c>
      <c r="I20" t="s">
        <v>19</v>
      </c>
      <c r="J20" t="s">
        <v>21</v>
      </c>
      <c r="K20" t="s">
        <v>14</v>
      </c>
      <c r="L20" t="s">
        <v>16</v>
      </c>
      <c r="M20" t="s">
        <v>17</v>
      </c>
      <c r="N20" t="s">
        <v>15</v>
      </c>
      <c r="O20" t="s">
        <v>39</v>
      </c>
    </row>
    <row r="21" spans="1:15" x14ac:dyDescent="0.25">
      <c r="A21" t="s">
        <v>45</v>
      </c>
      <c r="B21">
        <v>3439</v>
      </c>
      <c r="C21">
        <v>2959</v>
      </c>
      <c r="D21">
        <v>101138</v>
      </c>
      <c r="E21">
        <v>2799</v>
      </c>
      <c r="F21">
        <v>4310</v>
      </c>
      <c r="G21">
        <v>3001</v>
      </c>
      <c r="H21">
        <v>2880</v>
      </c>
      <c r="I21">
        <v>1379</v>
      </c>
      <c r="J21">
        <v>8139</v>
      </c>
      <c r="K21">
        <v>4734</v>
      </c>
      <c r="L21">
        <v>1783</v>
      </c>
      <c r="M21">
        <v>763</v>
      </c>
      <c r="N21">
        <v>456</v>
      </c>
      <c r="O21">
        <v>137780</v>
      </c>
    </row>
    <row r="22" spans="1:15" x14ac:dyDescent="0.25">
      <c r="A22" t="s">
        <v>46</v>
      </c>
      <c r="B22">
        <v>3430</v>
      </c>
      <c r="C22">
        <v>2948</v>
      </c>
      <c r="D22">
        <v>101038</v>
      </c>
      <c r="E22">
        <v>2790</v>
      </c>
      <c r="F22">
        <v>4299</v>
      </c>
      <c r="G22">
        <v>3000</v>
      </c>
      <c r="H22">
        <v>2874</v>
      </c>
      <c r="I22">
        <v>1385</v>
      </c>
      <c r="J22">
        <v>8152</v>
      </c>
      <c r="K22">
        <v>4738</v>
      </c>
      <c r="L22">
        <v>1776</v>
      </c>
      <c r="M22">
        <v>756</v>
      </c>
      <c r="N22">
        <v>455</v>
      </c>
      <c r="O22">
        <v>137641</v>
      </c>
    </row>
    <row r="23" spans="1:15" x14ac:dyDescent="0.25">
      <c r="A23" t="s">
        <v>47</v>
      </c>
      <c r="B23">
        <v>3423</v>
      </c>
      <c r="C23">
        <v>2922</v>
      </c>
      <c r="D23">
        <v>100599</v>
      </c>
      <c r="E23">
        <v>2772</v>
      </c>
      <c r="F23">
        <v>4280</v>
      </c>
      <c r="G23">
        <v>2995</v>
      </c>
      <c r="H23">
        <v>2859</v>
      </c>
      <c r="I23">
        <v>1376</v>
      </c>
      <c r="J23">
        <v>8113</v>
      </c>
      <c r="K23">
        <v>4724</v>
      </c>
      <c r="L23">
        <v>1778</v>
      </c>
      <c r="M23">
        <v>756</v>
      </c>
      <c r="N23">
        <v>452</v>
      </c>
      <c r="O23">
        <v>137049</v>
      </c>
    </row>
    <row r="24" spans="1:15" x14ac:dyDescent="0.25">
      <c r="A24" t="s">
        <v>48</v>
      </c>
      <c r="B24">
        <v>3393</v>
      </c>
      <c r="C24">
        <v>2911</v>
      </c>
      <c r="D24">
        <v>100232</v>
      </c>
      <c r="E24">
        <v>2757</v>
      </c>
      <c r="F24">
        <v>4287</v>
      </c>
      <c r="G24">
        <v>2987</v>
      </c>
      <c r="H24">
        <v>2854</v>
      </c>
      <c r="I24">
        <v>1367</v>
      </c>
      <c r="J24">
        <v>8093</v>
      </c>
      <c r="K24">
        <v>4726</v>
      </c>
      <c r="L24">
        <v>1774</v>
      </c>
      <c r="M24">
        <v>754</v>
      </c>
      <c r="N24">
        <v>450</v>
      </c>
      <c r="O24">
        <v>136585</v>
      </c>
    </row>
    <row r="25" spans="1:15" x14ac:dyDescent="0.25">
      <c r="A25" t="s">
        <v>49</v>
      </c>
      <c r="B25">
        <v>3390</v>
      </c>
      <c r="C25">
        <v>2905</v>
      </c>
      <c r="D25">
        <v>99800</v>
      </c>
      <c r="E25">
        <v>2737</v>
      </c>
      <c r="F25">
        <v>4276</v>
      </c>
      <c r="G25">
        <v>2986</v>
      </c>
      <c r="H25">
        <v>2849</v>
      </c>
      <c r="I25">
        <v>1366</v>
      </c>
      <c r="J25">
        <v>8045</v>
      </c>
      <c r="K25">
        <v>4721</v>
      </c>
      <c r="L25">
        <v>1763</v>
      </c>
      <c r="M25">
        <v>752</v>
      </c>
      <c r="N25">
        <v>450</v>
      </c>
      <c r="O25">
        <v>136040</v>
      </c>
    </row>
    <row r="26" spans="1:15" x14ac:dyDescent="0.25">
      <c r="A26" t="s">
        <v>50</v>
      </c>
      <c r="B26">
        <v>3391</v>
      </c>
      <c r="C26">
        <v>2915</v>
      </c>
      <c r="D26">
        <v>99540</v>
      </c>
      <c r="E26">
        <v>2742</v>
      </c>
      <c r="F26">
        <v>4272</v>
      </c>
      <c r="G26">
        <v>2988</v>
      </c>
      <c r="H26">
        <v>2855</v>
      </c>
      <c r="I26">
        <v>1370</v>
      </c>
      <c r="J26">
        <v>8042</v>
      </c>
      <c r="K26">
        <v>4720</v>
      </c>
      <c r="L26">
        <v>1761</v>
      </c>
      <c r="M26">
        <v>747</v>
      </c>
      <c r="N26">
        <v>457</v>
      </c>
      <c r="O26">
        <v>135800</v>
      </c>
    </row>
    <row r="27" spans="1:15" x14ac:dyDescent="0.25">
      <c r="A27" t="s">
        <v>51</v>
      </c>
      <c r="B27">
        <v>3384</v>
      </c>
      <c r="C27">
        <v>2899</v>
      </c>
      <c r="D27">
        <v>99596</v>
      </c>
      <c r="E27">
        <v>2722</v>
      </c>
      <c r="F27">
        <v>4265</v>
      </c>
      <c r="G27">
        <v>2982</v>
      </c>
      <c r="H27">
        <v>2858</v>
      </c>
      <c r="I27">
        <v>1374</v>
      </c>
      <c r="J27">
        <v>8031</v>
      </c>
      <c r="K27">
        <v>4737</v>
      </c>
      <c r="L27">
        <v>1769</v>
      </c>
      <c r="M27">
        <v>740</v>
      </c>
      <c r="N27">
        <v>458</v>
      </c>
      <c r="O27">
        <v>135815</v>
      </c>
    </row>
    <row r="28" spans="1:15" x14ac:dyDescent="0.25">
      <c r="A28" t="s">
        <v>52</v>
      </c>
      <c r="B28">
        <v>3373</v>
      </c>
      <c r="C28">
        <v>2883</v>
      </c>
      <c r="D28">
        <v>99342</v>
      </c>
      <c r="E28">
        <v>2710</v>
      </c>
      <c r="F28">
        <v>4239</v>
      </c>
      <c r="G28">
        <v>2987</v>
      </c>
      <c r="H28">
        <v>2852</v>
      </c>
      <c r="I28">
        <v>1363</v>
      </c>
      <c r="J28">
        <v>8017</v>
      </c>
      <c r="K28">
        <v>4707</v>
      </c>
      <c r="L28">
        <v>1757</v>
      </c>
      <c r="M28">
        <v>752</v>
      </c>
      <c r="N28">
        <v>459</v>
      </c>
      <c r="O28">
        <v>135441</v>
      </c>
    </row>
    <row r="29" spans="1:15" x14ac:dyDescent="0.25">
      <c r="A29" t="s">
        <v>53</v>
      </c>
      <c r="B29">
        <v>3360</v>
      </c>
      <c r="C29">
        <v>2869</v>
      </c>
      <c r="D29">
        <v>98872</v>
      </c>
      <c r="E29">
        <v>2689</v>
      </c>
      <c r="F29">
        <v>4240</v>
      </c>
      <c r="G29">
        <v>2968</v>
      </c>
      <c r="H29">
        <v>2839</v>
      </c>
      <c r="I29">
        <v>1348</v>
      </c>
      <c r="J29">
        <v>7990</v>
      </c>
      <c r="K29">
        <v>4677</v>
      </c>
      <c r="L29">
        <v>1751</v>
      </c>
      <c r="M29">
        <v>743</v>
      </c>
      <c r="N29">
        <v>450</v>
      </c>
      <c r="O29">
        <v>134796</v>
      </c>
    </row>
    <row r="30" spans="1:15" x14ac:dyDescent="0.25">
      <c r="A30" t="s">
        <v>54</v>
      </c>
      <c r="B30">
        <v>3358</v>
      </c>
      <c r="C30">
        <v>2868</v>
      </c>
      <c r="D30">
        <v>98212</v>
      </c>
      <c r="E30">
        <v>2689</v>
      </c>
      <c r="F30">
        <v>4244</v>
      </c>
      <c r="G30">
        <v>2963</v>
      </c>
      <c r="H30">
        <v>2826</v>
      </c>
      <c r="I30">
        <v>1341</v>
      </c>
      <c r="J30">
        <v>7962</v>
      </c>
      <c r="K30">
        <v>4674</v>
      </c>
      <c r="L30">
        <v>1749</v>
      </c>
      <c r="M30">
        <v>741</v>
      </c>
      <c r="N30">
        <v>445</v>
      </c>
      <c r="O30">
        <v>134072</v>
      </c>
    </row>
  </sheetData>
  <sortState xmlns:xlrd2="http://schemas.microsoft.com/office/spreadsheetml/2017/richdata2" ref="A3:K15">
    <sortCondition ref="A3:A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6</vt:i4>
      </vt:variant>
    </vt:vector>
  </HeadingPairs>
  <TitlesOfParts>
    <vt:vector size="11" baseType="lpstr">
      <vt:lpstr>Alla arbetslösa 16-64 år</vt:lpstr>
      <vt:lpstr>AK Samtl</vt:lpstr>
      <vt:lpstr>Ungdomar 18-24 år</vt:lpstr>
      <vt:lpstr>Utrikesfödda</vt:lpstr>
      <vt:lpstr>AK Utrik</vt:lpstr>
      <vt:lpstr>Arblösa &amp; i prog 16-64 år </vt:lpstr>
      <vt:lpstr>Arblösa &amp; i prog i % 16-64 år</vt:lpstr>
      <vt:lpstr>Arblösa &amp; i prog 18-24 år</vt:lpstr>
      <vt:lpstr>Arblösa &amp; i prog i % 18-24 år</vt:lpstr>
      <vt:lpstr>Utr. födda arblösa &amp; i prog</vt:lpstr>
      <vt:lpstr>Utr. födda arblösa &amp; i prog i %</vt:lpstr>
    </vt:vector>
  </TitlesOfParts>
  <Company>Ale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Louise Bäckemo Johansson</cp:lastModifiedBy>
  <cp:lastPrinted>2017-01-19T15:11:13Z</cp:lastPrinted>
  <dcterms:created xsi:type="dcterms:W3CDTF">2003-09-16T05:47:56Z</dcterms:created>
  <dcterms:modified xsi:type="dcterms:W3CDTF">2022-01-13T22:28:05Z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ök dokument">
    <vt:lpwstr>1</vt:lpwstr>
  </property>
  <property fmtid="{D5CDD505-2E9C-101B-9397-08002B2CF9AE}" pid="3" name="Mina dokument">
    <vt:lpwstr>1</vt:lpwstr>
  </property>
  <property fmtid="{D5CDD505-2E9C-101B-9397-08002B2CF9AE}" pid="4" name="Spara till dokumentarkiv">
    <vt:lpwstr>1</vt:lpwstr>
  </property>
  <property fmtid="{D5CDD505-2E9C-101B-9397-08002B2CF9AE}" pid="5" name="Spara som nytt">
    <vt:lpwstr>0</vt:lpwstr>
  </property>
  <property fmtid="{D5CDD505-2E9C-101B-9397-08002B2CF9AE}" pid="6" name="Spara till mapp">
    <vt:lpwstr>1</vt:lpwstr>
  </property>
  <property fmtid="{D5CDD505-2E9C-101B-9397-08002B2CF9AE}" pid="7" name="Dokument under redigering">
    <vt:lpwstr>1</vt:lpwstr>
  </property>
  <property fmtid="{D5CDD505-2E9C-101B-9397-08002B2CF9AE}" pid="8" name="Redigera dokument">
    <vt:lpwstr>0</vt:lpwstr>
  </property>
  <property fmtid="{D5CDD505-2E9C-101B-9397-08002B2CF9AE}" pid="9" name="Publicera kalkylark">
    <vt:lpwstr>1</vt:lpwstr>
  </property>
  <property fmtid="{D5CDD505-2E9C-101B-9397-08002B2CF9AE}" pid="10" name="Senaste dokument">
    <vt:lpwstr>1</vt:lpwstr>
  </property>
  <property fmtid="{D5CDD505-2E9C-101B-9397-08002B2CF9AE}" pid="11" name="Logga ut">
    <vt:lpwstr>1</vt:lpwstr>
  </property>
</Properties>
</file>